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4855" windowHeight="12015"/>
  </bookViews>
  <sheets>
    <sheet name="3Κ_2018_ΥΕ_ΔΙΟΡΙΣΤΕΟΙ" sheetId="1" r:id="rId1"/>
  </sheets>
  <calcPr calcId="125725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E3375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3458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3509"/>
  <c r="F3510"/>
  <c r="F3511"/>
  <c r="F3512"/>
  <c r="F3513"/>
  <c r="F3514"/>
  <c r="F3515"/>
  <c r="F3516"/>
  <c r="F3517"/>
  <c r="F3518"/>
  <c r="F3519"/>
  <c r="F3520"/>
  <c r="F3521"/>
  <c r="F3522"/>
  <c r="F3523"/>
  <c r="F3524"/>
  <c r="F3525"/>
  <c r="F3526"/>
  <c r="F3527"/>
  <c r="F3528"/>
  <c r="F3529"/>
  <c r="F3530"/>
  <c r="F3531"/>
  <c r="F3532"/>
  <c r="F3533"/>
  <c r="F3534"/>
  <c r="F3535"/>
  <c r="F3536"/>
  <c r="F3537"/>
  <c r="F3538"/>
  <c r="F3539"/>
  <c r="F3540"/>
  <c r="F3541"/>
  <c r="F3542"/>
  <c r="F3543"/>
  <c r="F3544"/>
  <c r="F3545"/>
  <c r="F3546"/>
  <c r="F3547"/>
  <c r="F3548"/>
  <c r="F3549"/>
  <c r="F3550"/>
  <c r="F3551"/>
  <c r="F3552"/>
  <c r="F3553"/>
  <c r="F3554"/>
  <c r="F3555"/>
  <c r="F3556"/>
  <c r="F3557"/>
  <c r="F3558"/>
  <c r="F3559"/>
  <c r="F3560"/>
  <c r="F3561"/>
  <c r="F3562"/>
  <c r="F3563"/>
  <c r="F3564"/>
  <c r="F3565"/>
  <c r="F3566"/>
  <c r="F3567"/>
  <c r="F3568"/>
  <c r="F3569"/>
  <c r="F3570"/>
  <c r="F3571"/>
  <c r="F3572"/>
  <c r="F3573"/>
  <c r="F3574"/>
  <c r="F3575"/>
  <c r="F3576"/>
  <c r="F3577"/>
  <c r="F3578"/>
  <c r="F3579"/>
  <c r="F3580"/>
  <c r="F3581"/>
  <c r="F3582"/>
  <c r="F3583"/>
  <c r="F3584"/>
  <c r="F3585"/>
  <c r="F3586"/>
  <c r="F3587"/>
  <c r="F3588"/>
  <c r="F3589"/>
  <c r="F3590"/>
  <c r="F3591"/>
  <c r="F3592"/>
  <c r="F3593"/>
  <c r="F3594"/>
  <c r="F3595"/>
  <c r="F3596"/>
  <c r="F3597"/>
  <c r="F3598"/>
  <c r="F3599"/>
  <c r="F3600"/>
  <c r="F3601"/>
  <c r="F3602"/>
  <c r="F3603"/>
  <c r="F3604"/>
  <c r="F3605"/>
  <c r="F3606"/>
  <c r="F3607"/>
  <c r="F3608"/>
  <c r="F3609"/>
  <c r="F3610"/>
  <c r="F3611"/>
  <c r="F3612"/>
  <c r="F3613"/>
  <c r="F3614"/>
  <c r="F3615"/>
  <c r="F3616"/>
  <c r="E3617"/>
  <c r="F3617"/>
  <c r="F3618"/>
  <c r="F3619"/>
  <c r="F3620"/>
  <c r="F3621"/>
  <c r="F3622"/>
  <c r="F3623"/>
  <c r="F3624"/>
  <c r="F3625"/>
  <c r="F3626"/>
  <c r="F3627"/>
  <c r="F3628"/>
  <c r="F3629"/>
  <c r="F3630"/>
  <c r="F3631"/>
  <c r="F3632"/>
  <c r="F3633"/>
  <c r="F3634"/>
  <c r="F3635"/>
  <c r="F3636"/>
  <c r="F3637"/>
  <c r="F3638"/>
  <c r="F3639"/>
  <c r="F3640"/>
  <c r="F3641"/>
  <c r="F3642"/>
  <c r="F3643"/>
  <c r="F3644"/>
  <c r="F3645"/>
  <c r="F3646"/>
  <c r="F3647"/>
  <c r="F3648"/>
  <c r="F3649"/>
  <c r="F3650"/>
  <c r="F3651"/>
  <c r="F3652"/>
  <c r="F3653"/>
  <c r="F3654"/>
  <c r="F3655"/>
  <c r="F3656"/>
  <c r="F3657"/>
  <c r="F3658"/>
  <c r="F3659"/>
  <c r="F3660"/>
  <c r="F3661"/>
  <c r="F3662"/>
  <c r="F3663"/>
  <c r="F3664"/>
  <c r="F3665"/>
  <c r="F3666"/>
  <c r="F3667"/>
  <c r="F3668"/>
  <c r="F3669"/>
  <c r="F3670"/>
  <c r="F3671"/>
  <c r="F3672"/>
  <c r="F3673"/>
  <c r="F3674"/>
  <c r="F3675"/>
  <c r="F3676"/>
  <c r="F3677"/>
  <c r="F3678"/>
  <c r="F3679"/>
  <c r="F3680"/>
  <c r="F3681"/>
  <c r="F3682"/>
  <c r="F3683"/>
  <c r="F3684"/>
  <c r="F3685"/>
  <c r="F3686"/>
  <c r="F3687"/>
  <c r="F3688"/>
  <c r="F3689"/>
  <c r="F3690"/>
  <c r="F3691"/>
  <c r="F3692"/>
  <c r="F3693"/>
  <c r="F3694"/>
  <c r="F3695"/>
  <c r="F3696"/>
  <c r="F3697"/>
  <c r="F3698"/>
  <c r="F3699"/>
  <c r="F3700"/>
  <c r="F3701"/>
  <c r="F3702"/>
  <c r="F3703"/>
  <c r="F3704"/>
  <c r="F3705"/>
  <c r="F3706"/>
  <c r="F3707"/>
  <c r="F3708"/>
  <c r="F3709"/>
  <c r="F3710"/>
  <c r="F3711"/>
  <c r="F3712"/>
  <c r="F3713"/>
  <c r="F3714"/>
  <c r="F3715"/>
  <c r="F3716"/>
  <c r="F3717"/>
  <c r="F3718"/>
  <c r="F3719"/>
  <c r="F3720"/>
  <c r="F3721"/>
  <c r="F3722"/>
  <c r="F3723"/>
  <c r="F3724"/>
  <c r="F3725"/>
  <c r="F3726"/>
  <c r="F3727"/>
  <c r="F3728"/>
  <c r="F3729"/>
  <c r="F3730"/>
  <c r="F3731"/>
  <c r="F3732"/>
  <c r="F3733"/>
  <c r="F3734"/>
  <c r="F3735"/>
  <c r="F3736"/>
  <c r="F3737"/>
  <c r="F3738"/>
  <c r="F3739"/>
  <c r="F3740"/>
  <c r="F3741"/>
  <c r="F3742"/>
  <c r="F3743"/>
  <c r="F3744"/>
  <c r="F3745"/>
  <c r="F3746"/>
  <c r="F3747"/>
  <c r="F3748"/>
  <c r="F3749"/>
  <c r="F3750"/>
  <c r="F3751"/>
  <c r="F3752"/>
  <c r="F3753"/>
  <c r="F3754"/>
  <c r="F3755"/>
  <c r="F3756"/>
  <c r="F3757"/>
  <c r="F3758"/>
  <c r="F3759"/>
  <c r="F3760"/>
  <c r="F3761"/>
  <c r="F3762"/>
  <c r="F3763"/>
  <c r="F3764"/>
  <c r="F3765"/>
  <c r="F3766"/>
  <c r="F3767"/>
  <c r="F3768"/>
  <c r="F3769"/>
  <c r="F3770"/>
  <c r="F3771"/>
  <c r="F3772"/>
  <c r="F3773"/>
  <c r="F3774"/>
  <c r="F3775"/>
  <c r="F3776"/>
  <c r="F3777"/>
  <c r="F3778"/>
  <c r="F3779"/>
  <c r="F3780"/>
  <c r="F3781"/>
  <c r="F3782"/>
  <c r="F3783"/>
  <c r="F3784"/>
  <c r="F3785"/>
  <c r="F3786"/>
  <c r="F3787"/>
  <c r="F3788"/>
  <c r="F3789"/>
  <c r="F3790"/>
  <c r="F3791"/>
  <c r="F3792"/>
  <c r="F3793"/>
  <c r="F3794"/>
  <c r="F3795"/>
  <c r="F3796"/>
  <c r="F3797"/>
  <c r="F3798"/>
  <c r="F3799"/>
  <c r="F3800"/>
  <c r="F3801"/>
  <c r="F3802"/>
  <c r="F3803"/>
  <c r="F3804"/>
  <c r="F3805"/>
  <c r="F3806"/>
  <c r="F3807"/>
  <c r="F3808"/>
  <c r="F3809"/>
  <c r="F3810"/>
  <c r="F3811"/>
  <c r="F3812"/>
  <c r="F3813"/>
  <c r="F3814"/>
  <c r="F3815"/>
  <c r="F3816"/>
  <c r="F3817"/>
  <c r="F3818"/>
  <c r="F3819"/>
  <c r="F3820"/>
  <c r="F3821"/>
  <c r="F3822"/>
  <c r="F3823"/>
  <c r="F3824"/>
  <c r="F3825"/>
  <c r="F3826"/>
  <c r="F3827"/>
  <c r="F3828"/>
  <c r="F3829"/>
  <c r="F3830"/>
  <c r="F3831"/>
  <c r="F3832"/>
  <c r="F3833"/>
  <c r="F3834"/>
  <c r="F3835"/>
  <c r="F3836"/>
  <c r="F3837"/>
  <c r="F3838"/>
  <c r="F3839"/>
  <c r="F3840"/>
  <c r="F3841"/>
  <c r="F3842"/>
  <c r="F3843"/>
  <c r="F3844"/>
  <c r="F3845"/>
  <c r="F3846"/>
  <c r="F3847"/>
  <c r="F3848"/>
  <c r="F3849"/>
  <c r="F3850"/>
  <c r="F3851"/>
  <c r="F3852"/>
  <c r="F3853"/>
  <c r="F3854"/>
  <c r="F3855"/>
  <c r="F3856"/>
  <c r="F3857"/>
  <c r="F3858"/>
  <c r="F3859"/>
  <c r="F3860"/>
  <c r="F3861"/>
  <c r="F3862"/>
  <c r="F3863"/>
  <c r="F3864"/>
  <c r="F3865"/>
  <c r="F3866"/>
  <c r="F3867"/>
  <c r="F3868"/>
  <c r="F3869"/>
  <c r="F3870"/>
  <c r="F3871"/>
  <c r="F3872"/>
  <c r="F3873"/>
  <c r="F3874"/>
  <c r="F3875"/>
  <c r="F3876"/>
  <c r="F3877"/>
  <c r="F3878"/>
  <c r="F3879"/>
  <c r="F3880"/>
  <c r="F3881"/>
  <c r="F3882"/>
  <c r="F3883"/>
  <c r="F3884"/>
  <c r="F3885"/>
  <c r="F3886"/>
  <c r="F3887"/>
  <c r="F3888"/>
  <c r="F3889"/>
  <c r="F3890"/>
  <c r="F3891"/>
  <c r="F3892"/>
  <c r="F3893"/>
  <c r="F3894"/>
  <c r="F3895"/>
  <c r="F3896"/>
  <c r="F3897"/>
  <c r="F3898"/>
  <c r="F3899"/>
  <c r="F3900"/>
  <c r="F3901"/>
  <c r="F3902"/>
  <c r="F3903"/>
  <c r="F3904"/>
  <c r="F3905"/>
  <c r="F3906"/>
  <c r="F3907"/>
  <c r="F3908"/>
  <c r="F3909"/>
  <c r="F3910"/>
  <c r="F3911"/>
  <c r="F3912"/>
  <c r="F3913"/>
  <c r="F3914"/>
  <c r="F3915"/>
  <c r="F3916"/>
  <c r="F3917"/>
  <c r="F3918"/>
  <c r="F3919"/>
  <c r="F3920"/>
  <c r="F3921"/>
  <c r="F3922"/>
  <c r="F3923"/>
  <c r="F3924"/>
  <c r="F3925"/>
  <c r="F3926"/>
  <c r="F3927"/>
  <c r="F3928"/>
  <c r="F3929"/>
  <c r="F3930"/>
  <c r="F3931"/>
  <c r="F3932"/>
  <c r="F3933"/>
  <c r="F3934"/>
  <c r="F3935"/>
  <c r="F3936"/>
  <c r="F3937"/>
  <c r="F3938"/>
  <c r="F3939"/>
  <c r="F3940"/>
  <c r="F3941"/>
  <c r="F3942"/>
  <c r="F3943"/>
  <c r="F3944"/>
  <c r="F3945"/>
  <c r="F3946"/>
  <c r="F3947"/>
  <c r="F3948"/>
  <c r="F3949"/>
  <c r="F3950"/>
  <c r="F3951"/>
  <c r="F3952"/>
  <c r="F3953"/>
  <c r="F3954"/>
  <c r="F3955"/>
  <c r="F3956"/>
  <c r="F3957"/>
  <c r="F3958"/>
  <c r="F3959"/>
  <c r="F3960"/>
  <c r="F3961"/>
  <c r="F3962"/>
  <c r="F3963"/>
  <c r="F3964"/>
  <c r="F3965"/>
  <c r="F3966"/>
  <c r="F3967"/>
  <c r="F3968"/>
  <c r="F3969"/>
  <c r="F3970"/>
  <c r="F3971"/>
  <c r="F3972"/>
  <c r="F3973"/>
  <c r="F3974"/>
  <c r="F3975"/>
  <c r="F3976"/>
  <c r="F3977"/>
  <c r="F3978"/>
  <c r="F3979"/>
  <c r="F3980"/>
  <c r="F3981"/>
  <c r="F3982"/>
  <c r="F3983"/>
  <c r="F3984"/>
  <c r="F3985"/>
  <c r="F3986"/>
  <c r="F3987"/>
  <c r="F3988"/>
  <c r="F3989"/>
  <c r="F3990"/>
  <c r="F3991"/>
  <c r="F3992"/>
  <c r="F3993"/>
  <c r="F3994"/>
  <c r="F3995"/>
  <c r="F3996"/>
  <c r="F3997"/>
  <c r="F3998"/>
  <c r="F3999"/>
  <c r="F4000"/>
  <c r="F4001"/>
  <c r="F4002"/>
  <c r="F4003"/>
  <c r="F4004"/>
  <c r="F4005"/>
  <c r="F4006"/>
  <c r="F4007"/>
  <c r="F4008"/>
  <c r="F4009"/>
  <c r="F4010"/>
  <c r="F4011"/>
  <c r="F4012"/>
  <c r="F4013"/>
  <c r="F4014"/>
  <c r="F4015"/>
  <c r="F4016"/>
  <c r="F4017"/>
  <c r="F4018"/>
  <c r="F4019"/>
  <c r="F4020"/>
  <c r="F4021"/>
  <c r="F4022"/>
  <c r="F4023"/>
  <c r="F4024"/>
  <c r="F4025"/>
  <c r="F4026"/>
  <c r="F4027"/>
  <c r="F4028"/>
  <c r="F4029"/>
  <c r="F4030"/>
  <c r="F4031"/>
  <c r="F4032"/>
  <c r="F4033"/>
  <c r="F4034"/>
  <c r="F4035"/>
  <c r="F4036"/>
  <c r="F4037"/>
  <c r="F4038"/>
  <c r="F4039"/>
  <c r="F4040"/>
  <c r="F4041"/>
  <c r="F4042"/>
  <c r="F4043"/>
  <c r="F4044"/>
  <c r="F4045"/>
  <c r="F4046"/>
  <c r="F4047"/>
  <c r="F4048"/>
  <c r="F4049"/>
  <c r="F4050"/>
  <c r="F4051"/>
  <c r="F4052"/>
  <c r="F4053"/>
  <c r="F4054"/>
  <c r="F4055"/>
  <c r="F4056"/>
  <c r="F4057"/>
  <c r="F4058"/>
  <c r="F4059"/>
  <c r="F4060"/>
  <c r="F4061"/>
  <c r="F4062"/>
  <c r="F4063"/>
  <c r="F4064"/>
  <c r="F4065"/>
  <c r="F4066"/>
  <c r="F4067"/>
  <c r="F4068"/>
  <c r="F4069"/>
  <c r="F4070"/>
  <c r="F4071"/>
  <c r="F4072"/>
  <c r="F4073"/>
  <c r="F4074"/>
  <c r="F4075"/>
  <c r="F4076"/>
  <c r="F4077"/>
  <c r="F4078"/>
  <c r="F4079"/>
  <c r="F4080"/>
  <c r="F4081"/>
  <c r="F4082"/>
  <c r="F4083"/>
  <c r="F4084"/>
  <c r="F4085"/>
  <c r="F4086"/>
  <c r="F4087"/>
  <c r="F4088"/>
  <c r="F4089"/>
  <c r="F4090"/>
  <c r="F4091"/>
  <c r="F4092"/>
  <c r="F4093"/>
  <c r="F4094"/>
  <c r="F4095"/>
  <c r="F4096"/>
  <c r="F4097"/>
  <c r="F4098"/>
  <c r="F4099"/>
  <c r="F4100"/>
  <c r="F4101"/>
  <c r="F4102"/>
  <c r="F4103"/>
  <c r="F4104"/>
  <c r="F4105"/>
  <c r="F4106"/>
  <c r="F4107"/>
  <c r="F4108"/>
  <c r="F4109"/>
  <c r="F4110"/>
  <c r="F4111"/>
  <c r="F4112"/>
  <c r="F4113"/>
  <c r="F4114"/>
  <c r="F4115"/>
  <c r="F4116"/>
  <c r="F4117"/>
  <c r="F4118"/>
  <c r="F4119"/>
  <c r="F4120"/>
  <c r="F4121"/>
  <c r="F4122"/>
  <c r="F4123"/>
  <c r="F4124"/>
  <c r="F4125"/>
  <c r="F4126"/>
  <c r="F4127"/>
  <c r="F4128"/>
  <c r="F4129"/>
  <c r="F4130"/>
  <c r="F4131"/>
  <c r="F4132"/>
  <c r="F4133"/>
  <c r="F4134"/>
  <c r="F4135"/>
  <c r="F4136"/>
  <c r="F4137"/>
  <c r="F4138"/>
  <c r="F4139"/>
  <c r="F4140"/>
  <c r="F4141"/>
  <c r="F4142"/>
  <c r="F4143"/>
  <c r="F4144"/>
  <c r="F4145"/>
  <c r="F4146"/>
  <c r="F4147"/>
  <c r="F4148"/>
  <c r="F4149"/>
  <c r="F4150"/>
  <c r="F4151"/>
  <c r="F4152"/>
  <c r="F4153"/>
  <c r="F4154"/>
  <c r="F4155"/>
  <c r="F4156"/>
  <c r="F4157"/>
  <c r="F4158"/>
  <c r="F4159"/>
  <c r="F4160"/>
  <c r="F4161"/>
  <c r="F4162"/>
  <c r="F4163"/>
  <c r="F4164"/>
  <c r="F4165"/>
  <c r="F4166"/>
  <c r="F4167"/>
  <c r="F4168"/>
  <c r="F4169"/>
  <c r="F4170"/>
  <c r="F4171"/>
  <c r="F4172"/>
  <c r="F4173"/>
  <c r="F4174"/>
  <c r="F4175"/>
  <c r="F4176"/>
  <c r="F4177"/>
  <c r="F4178"/>
  <c r="F4179"/>
  <c r="F4180"/>
  <c r="F4181"/>
  <c r="F4182"/>
  <c r="F4183"/>
  <c r="F4184"/>
  <c r="F4185"/>
  <c r="F4186"/>
  <c r="F4187"/>
  <c r="F4188"/>
  <c r="F4189"/>
  <c r="F4190"/>
  <c r="F4191"/>
  <c r="F4192"/>
  <c r="F4193"/>
  <c r="F4194"/>
  <c r="F4195"/>
  <c r="F4196"/>
  <c r="F4197"/>
  <c r="F4198"/>
  <c r="F4199"/>
  <c r="F4200"/>
  <c r="F4201"/>
  <c r="F4202"/>
  <c r="F4203"/>
  <c r="F4204"/>
  <c r="F4205"/>
  <c r="F4206"/>
  <c r="F4207"/>
  <c r="F4208"/>
  <c r="F4209"/>
  <c r="F4210"/>
  <c r="F4211"/>
  <c r="F4212"/>
  <c r="F4213"/>
  <c r="F4214"/>
  <c r="F4215"/>
  <c r="F4216"/>
  <c r="F4217"/>
  <c r="F4218"/>
  <c r="F4219"/>
  <c r="F4220"/>
  <c r="F4221"/>
  <c r="F4222"/>
  <c r="F4223"/>
  <c r="F4224"/>
  <c r="F4225"/>
  <c r="F4226"/>
  <c r="F4227"/>
  <c r="F4228"/>
  <c r="F4229"/>
  <c r="F4230"/>
  <c r="F4231"/>
  <c r="F4232"/>
  <c r="F4233"/>
  <c r="F4234"/>
  <c r="F4235"/>
  <c r="F4236"/>
  <c r="F4237"/>
  <c r="F4238"/>
  <c r="F4239"/>
  <c r="F4240"/>
  <c r="F4241"/>
  <c r="F4242"/>
  <c r="F4243"/>
  <c r="F4244"/>
  <c r="F4245"/>
  <c r="F4246"/>
  <c r="F4247"/>
  <c r="F4248"/>
  <c r="F4249"/>
  <c r="F4250"/>
  <c r="F4251"/>
  <c r="F4252"/>
  <c r="F4253"/>
  <c r="F4254"/>
  <c r="F4255"/>
  <c r="F4256"/>
  <c r="F4257"/>
  <c r="F4258"/>
  <c r="F4259"/>
  <c r="F4260"/>
  <c r="F4261"/>
  <c r="F4262"/>
  <c r="F4263"/>
  <c r="F4264"/>
  <c r="F4265"/>
  <c r="F4266"/>
  <c r="F4267"/>
  <c r="F4268"/>
  <c r="F4269"/>
  <c r="F4270"/>
  <c r="F4271"/>
  <c r="F4272"/>
  <c r="F4273"/>
  <c r="F4274"/>
  <c r="F4275"/>
  <c r="F4276"/>
  <c r="F4277"/>
  <c r="F4278"/>
  <c r="F4279"/>
  <c r="F4280"/>
  <c r="F4281"/>
  <c r="F4282"/>
  <c r="F4283"/>
  <c r="F4284"/>
  <c r="F4285"/>
  <c r="F4286"/>
  <c r="F4287"/>
  <c r="F4288"/>
  <c r="F4289"/>
  <c r="F4290"/>
  <c r="F4291"/>
  <c r="F4292"/>
  <c r="F4293"/>
  <c r="F4294"/>
  <c r="F4295"/>
  <c r="F4296"/>
  <c r="F4297"/>
  <c r="F4298"/>
  <c r="F4299"/>
  <c r="F4300"/>
  <c r="F4301"/>
  <c r="F4302"/>
  <c r="F4303"/>
  <c r="F4304"/>
  <c r="F4305"/>
  <c r="F4306"/>
  <c r="F4307"/>
  <c r="F4308"/>
  <c r="F4309"/>
  <c r="F4310"/>
  <c r="F4311"/>
  <c r="F4312"/>
  <c r="F4313"/>
  <c r="F4314"/>
  <c r="F4315"/>
  <c r="F4316"/>
  <c r="F4317"/>
  <c r="F4318"/>
  <c r="F4319"/>
  <c r="F4320"/>
  <c r="F4321"/>
  <c r="F4322"/>
  <c r="F4323"/>
  <c r="F4324"/>
  <c r="F4325"/>
  <c r="F4326"/>
  <c r="F4327"/>
  <c r="F4328"/>
  <c r="F4329"/>
  <c r="F4330"/>
  <c r="F4331"/>
  <c r="F4332"/>
  <c r="F4333"/>
  <c r="F4334"/>
  <c r="F4335"/>
  <c r="F4336"/>
  <c r="F4337"/>
  <c r="F4338"/>
  <c r="F4339"/>
  <c r="F4340"/>
  <c r="F4341"/>
  <c r="F4342"/>
  <c r="F4343"/>
  <c r="F4344"/>
  <c r="F4345"/>
  <c r="F4346"/>
  <c r="F4347"/>
  <c r="F4348"/>
  <c r="F4349"/>
  <c r="F4350"/>
  <c r="F4351"/>
  <c r="F4352"/>
  <c r="F4353"/>
  <c r="F4354"/>
  <c r="F4355"/>
  <c r="F4356"/>
  <c r="F4357"/>
  <c r="F4358"/>
  <c r="F4359"/>
  <c r="F4360"/>
  <c r="F4361"/>
  <c r="F4362"/>
  <c r="F4363"/>
  <c r="F4364"/>
  <c r="F4365"/>
  <c r="F4366"/>
  <c r="F4367"/>
  <c r="F4368"/>
  <c r="F4369"/>
  <c r="F4370"/>
  <c r="F4371"/>
  <c r="F4372"/>
  <c r="F4373"/>
  <c r="F4374"/>
  <c r="F4375"/>
  <c r="F4376"/>
  <c r="F4377"/>
  <c r="F4378"/>
  <c r="F4379"/>
  <c r="F4380"/>
  <c r="F4381"/>
  <c r="F4382"/>
  <c r="F4383"/>
  <c r="F4384"/>
  <c r="F4385"/>
  <c r="F4386"/>
  <c r="F4387"/>
  <c r="F4388"/>
  <c r="F4389"/>
  <c r="F4390"/>
  <c r="F4391"/>
  <c r="F4392"/>
  <c r="F4393"/>
  <c r="F4394"/>
  <c r="F4395"/>
  <c r="F4396"/>
  <c r="F4397"/>
  <c r="F4398"/>
  <c r="F4399"/>
  <c r="F4400"/>
  <c r="F4401"/>
  <c r="F4402"/>
  <c r="F4403"/>
  <c r="F4404"/>
  <c r="F4405"/>
  <c r="F4406"/>
  <c r="F4407"/>
  <c r="F4408"/>
  <c r="F4409"/>
  <c r="F4410"/>
  <c r="F4411"/>
  <c r="F4412"/>
  <c r="F4413"/>
  <c r="F4414"/>
  <c r="F4415"/>
  <c r="F4416"/>
  <c r="F4417"/>
  <c r="F4418"/>
  <c r="F4419"/>
  <c r="F4420"/>
  <c r="F4421"/>
  <c r="F4422"/>
  <c r="F4423"/>
  <c r="F4424"/>
  <c r="F4425"/>
  <c r="F4426"/>
  <c r="F4427"/>
  <c r="F4428"/>
  <c r="F4429"/>
  <c r="F4430"/>
  <c r="F4431"/>
  <c r="F4432"/>
  <c r="F4433"/>
  <c r="F4434"/>
  <c r="F4435"/>
  <c r="F4436"/>
  <c r="F4437"/>
  <c r="F4438"/>
  <c r="F4439"/>
  <c r="F4440"/>
  <c r="F4441"/>
  <c r="F4442"/>
  <c r="F4443"/>
  <c r="F4444"/>
  <c r="F4445"/>
  <c r="F4446"/>
  <c r="F4447"/>
  <c r="F4448"/>
  <c r="F4449"/>
  <c r="F4450"/>
  <c r="F4451"/>
  <c r="F4452"/>
  <c r="F4453"/>
  <c r="F4454"/>
  <c r="F4455"/>
  <c r="F4456"/>
  <c r="F4457"/>
  <c r="F4458"/>
  <c r="F4459"/>
  <c r="F4460"/>
  <c r="F4461"/>
  <c r="F4462"/>
  <c r="F4463"/>
  <c r="F4464"/>
  <c r="F4465"/>
  <c r="F4466"/>
  <c r="F4467"/>
  <c r="F4468"/>
  <c r="F4469"/>
  <c r="F4470"/>
  <c r="F4471"/>
  <c r="F4472"/>
  <c r="F4473"/>
  <c r="F4474"/>
  <c r="F4475"/>
  <c r="F4476"/>
  <c r="F4477"/>
  <c r="F4478"/>
  <c r="F4479"/>
  <c r="F4480"/>
  <c r="F4481"/>
  <c r="F4482"/>
  <c r="F4483"/>
  <c r="F4484"/>
  <c r="F4485"/>
  <c r="F4486"/>
  <c r="F4487"/>
  <c r="F4488"/>
  <c r="F4489"/>
  <c r="F4490"/>
  <c r="F4491"/>
  <c r="F4492"/>
  <c r="F4493"/>
  <c r="F4494"/>
  <c r="F4495"/>
  <c r="F4496"/>
  <c r="F4497"/>
  <c r="F4498"/>
  <c r="F4499"/>
  <c r="F4500"/>
  <c r="F4501"/>
  <c r="F4502"/>
  <c r="F4503"/>
  <c r="F4504"/>
  <c r="F4505"/>
  <c r="F4506"/>
  <c r="F4507"/>
  <c r="F4508"/>
  <c r="F4509"/>
  <c r="F4510"/>
  <c r="F4511"/>
  <c r="F4512"/>
  <c r="F4513"/>
  <c r="F4514"/>
  <c r="F4515"/>
  <c r="F4516"/>
  <c r="F4517"/>
  <c r="F4518"/>
  <c r="F4519"/>
  <c r="F4520"/>
  <c r="F4521"/>
  <c r="F4522"/>
  <c r="F4523"/>
  <c r="F4524"/>
  <c r="F4525"/>
  <c r="F4526"/>
  <c r="F4527"/>
  <c r="F4528"/>
  <c r="F4529"/>
  <c r="F4530"/>
  <c r="F4531"/>
  <c r="F4532"/>
  <c r="F4533"/>
  <c r="F4534"/>
  <c r="F4535"/>
  <c r="F4536"/>
  <c r="F4537"/>
  <c r="F4538"/>
  <c r="F4539"/>
  <c r="F4540"/>
  <c r="F4541"/>
  <c r="F4542"/>
  <c r="F4543"/>
  <c r="F4544"/>
  <c r="F4545"/>
  <c r="F4546"/>
  <c r="F4547"/>
  <c r="F4548"/>
  <c r="F4549"/>
  <c r="F4550"/>
  <c r="F4551"/>
  <c r="F4552"/>
  <c r="F4553"/>
  <c r="F4554"/>
  <c r="F4555"/>
  <c r="F4556"/>
  <c r="F4557"/>
  <c r="F4558"/>
  <c r="F4559"/>
  <c r="F4560"/>
  <c r="F4561"/>
  <c r="F4562"/>
  <c r="F4563"/>
  <c r="F4564"/>
  <c r="F4565"/>
  <c r="F4566"/>
  <c r="F4567"/>
  <c r="F4568"/>
  <c r="F4569"/>
  <c r="F4570"/>
  <c r="F4571"/>
  <c r="F4572"/>
  <c r="F4573"/>
  <c r="F4574"/>
  <c r="F4575"/>
  <c r="F4576"/>
  <c r="F4577"/>
  <c r="F4578"/>
  <c r="F4579"/>
  <c r="F4580"/>
  <c r="F4581"/>
  <c r="F4582"/>
  <c r="F4583"/>
  <c r="F4584"/>
  <c r="F4585"/>
  <c r="F4586"/>
  <c r="F4587"/>
  <c r="F4588"/>
  <c r="F4589"/>
  <c r="F4590"/>
  <c r="F4591"/>
  <c r="F4592"/>
  <c r="F4593"/>
  <c r="F4594"/>
  <c r="F4595"/>
  <c r="F4596"/>
  <c r="F4597"/>
  <c r="F4598"/>
  <c r="F4599"/>
  <c r="F4600"/>
  <c r="F4601"/>
  <c r="F4602"/>
  <c r="F4603"/>
  <c r="F4604"/>
  <c r="F4605"/>
  <c r="F4606"/>
  <c r="F4607"/>
  <c r="F4608"/>
  <c r="F4609"/>
  <c r="F4610"/>
  <c r="F4611"/>
  <c r="F4612"/>
  <c r="F4613"/>
  <c r="F4614"/>
  <c r="F4615"/>
  <c r="F4616"/>
  <c r="F4617"/>
  <c r="F4618"/>
  <c r="F4619"/>
  <c r="F4620"/>
  <c r="F4621"/>
  <c r="F4622"/>
  <c r="F4623"/>
  <c r="F4624"/>
  <c r="F4625"/>
  <c r="F4626"/>
  <c r="F4627"/>
  <c r="F4628"/>
  <c r="F4629"/>
  <c r="F4630"/>
  <c r="F4631"/>
  <c r="F4632"/>
  <c r="F4633"/>
  <c r="F4634"/>
  <c r="F4635"/>
  <c r="F4636"/>
  <c r="F4637"/>
  <c r="F4638"/>
  <c r="F4639"/>
  <c r="F4640"/>
  <c r="F4641"/>
  <c r="F4642"/>
  <c r="F4643"/>
  <c r="F4644"/>
  <c r="F4645"/>
  <c r="F4646"/>
  <c r="F4647"/>
  <c r="F4648"/>
  <c r="F4649"/>
  <c r="F4650"/>
  <c r="F4651"/>
  <c r="F4652"/>
  <c r="F4653"/>
  <c r="F4654"/>
  <c r="F4655"/>
  <c r="F4656"/>
  <c r="F4657"/>
  <c r="F4658"/>
  <c r="F4659"/>
  <c r="F4660"/>
  <c r="F4661"/>
  <c r="F4662"/>
  <c r="F4663"/>
  <c r="F4664"/>
  <c r="F4665"/>
  <c r="F4666"/>
  <c r="F4667"/>
  <c r="F4668"/>
  <c r="F4669"/>
  <c r="F4670"/>
  <c r="F4671"/>
  <c r="F4672"/>
  <c r="F4673"/>
  <c r="F4674"/>
  <c r="F4675"/>
  <c r="F4676"/>
  <c r="F4677"/>
  <c r="F4678"/>
  <c r="F4679"/>
  <c r="F4680"/>
  <c r="F4681"/>
  <c r="F4682"/>
  <c r="F4683"/>
  <c r="F4684"/>
  <c r="F4685"/>
  <c r="F4686"/>
  <c r="F4687"/>
  <c r="F4688"/>
  <c r="F4689"/>
  <c r="F4690"/>
  <c r="F4691"/>
  <c r="F4692"/>
  <c r="F4693"/>
  <c r="F4694"/>
  <c r="F4695"/>
  <c r="F4696"/>
  <c r="F4697"/>
  <c r="F4698"/>
  <c r="F4699"/>
  <c r="F4700"/>
  <c r="F4701"/>
  <c r="F4702"/>
  <c r="F4703"/>
  <c r="F4704"/>
  <c r="F4705"/>
  <c r="F4706"/>
  <c r="F4707"/>
  <c r="F4708"/>
  <c r="F4709"/>
  <c r="F4710"/>
  <c r="F4711"/>
  <c r="F4712"/>
  <c r="F4713"/>
  <c r="F4714"/>
  <c r="F4715"/>
  <c r="F4716"/>
  <c r="F4717"/>
  <c r="F4718"/>
  <c r="F4719"/>
  <c r="F4720"/>
  <c r="F4721"/>
  <c r="F4722"/>
  <c r="F4723"/>
  <c r="F4724"/>
  <c r="F4725"/>
  <c r="F4726"/>
  <c r="F4727"/>
  <c r="F4728"/>
  <c r="F4729"/>
  <c r="F4730"/>
  <c r="F4731"/>
  <c r="F4732"/>
  <c r="F4733"/>
  <c r="F4734"/>
  <c r="F4735"/>
  <c r="F4736"/>
  <c r="F4737"/>
  <c r="F4738"/>
  <c r="F4739"/>
  <c r="F4740"/>
  <c r="F4741"/>
  <c r="F4742"/>
  <c r="F4743"/>
  <c r="F4744"/>
  <c r="F4745"/>
  <c r="F4746"/>
  <c r="F4747"/>
  <c r="F4748"/>
  <c r="F4749"/>
  <c r="F4750"/>
  <c r="F4751"/>
  <c r="F4752"/>
  <c r="F4753"/>
  <c r="F4754"/>
  <c r="F4755"/>
  <c r="F4756"/>
  <c r="F4757"/>
  <c r="F4758"/>
  <c r="F4759"/>
  <c r="F4760"/>
  <c r="F4761"/>
  <c r="F4762"/>
  <c r="F4763"/>
  <c r="F4764"/>
  <c r="F4765"/>
  <c r="F4766"/>
  <c r="F4767"/>
  <c r="F4768"/>
  <c r="F4769"/>
  <c r="F4770"/>
  <c r="F4771"/>
  <c r="F4772"/>
  <c r="F4773"/>
  <c r="F4774"/>
  <c r="F4775"/>
  <c r="F4776"/>
  <c r="F4777"/>
  <c r="F4778"/>
  <c r="F4779"/>
  <c r="F4780"/>
  <c r="F4781"/>
  <c r="F4782"/>
  <c r="F4783"/>
  <c r="F4784"/>
  <c r="F4785"/>
  <c r="F4786"/>
  <c r="F4787"/>
  <c r="F4788"/>
  <c r="F4789"/>
  <c r="F4790"/>
  <c r="F4791"/>
  <c r="F4792"/>
  <c r="F4793"/>
  <c r="F4794"/>
  <c r="F4795"/>
  <c r="F4796"/>
  <c r="F4797"/>
  <c r="F4798"/>
  <c r="F4799"/>
  <c r="F4800"/>
  <c r="F4801"/>
  <c r="F4802"/>
  <c r="F4803"/>
  <c r="F4804"/>
  <c r="F4805"/>
  <c r="F4806"/>
  <c r="F4807"/>
  <c r="F4808"/>
  <c r="F4809"/>
  <c r="F4810"/>
  <c r="F4811"/>
  <c r="F4812"/>
  <c r="F4813"/>
  <c r="F4814"/>
  <c r="F4815"/>
  <c r="F4816"/>
  <c r="F4817"/>
  <c r="F4818"/>
  <c r="F4819"/>
  <c r="F4820"/>
  <c r="F4821"/>
  <c r="F4822"/>
  <c r="F4823"/>
  <c r="F4824"/>
  <c r="F4825"/>
  <c r="F4826"/>
  <c r="F4827"/>
  <c r="F4828"/>
  <c r="F4829"/>
  <c r="F4830"/>
  <c r="F4831"/>
  <c r="F4832"/>
  <c r="F4833"/>
  <c r="F4834"/>
  <c r="F4835"/>
  <c r="F4836"/>
  <c r="F4837"/>
  <c r="F4838"/>
  <c r="F4839"/>
  <c r="F4840"/>
  <c r="F4841"/>
  <c r="F4842"/>
  <c r="F4843"/>
  <c r="F4844"/>
  <c r="F4845"/>
  <c r="F4846"/>
  <c r="F4847"/>
  <c r="F4848"/>
  <c r="F4849"/>
  <c r="F4850"/>
  <c r="F4851"/>
  <c r="F4852"/>
  <c r="F4853"/>
  <c r="F4854"/>
  <c r="F4855"/>
  <c r="F4856"/>
  <c r="F4857"/>
  <c r="F4858"/>
  <c r="F4859"/>
  <c r="F4860"/>
  <c r="F4861"/>
  <c r="F4862"/>
  <c r="F4863"/>
  <c r="F4864"/>
  <c r="F4865"/>
  <c r="F4866"/>
  <c r="F4867"/>
  <c r="F4868"/>
  <c r="F4869"/>
  <c r="F4870"/>
  <c r="F4871"/>
  <c r="F4872"/>
  <c r="F4873"/>
  <c r="F4874"/>
  <c r="F4875"/>
  <c r="F4876"/>
  <c r="F4877"/>
  <c r="F4878"/>
  <c r="F4879"/>
  <c r="F4880"/>
  <c r="F4881"/>
  <c r="F4882"/>
  <c r="F4883"/>
  <c r="F4884"/>
  <c r="F4885"/>
  <c r="F4886"/>
  <c r="F4887"/>
  <c r="F4888"/>
  <c r="F4889"/>
  <c r="F4890"/>
  <c r="F4891"/>
  <c r="F4892"/>
  <c r="F4893"/>
  <c r="F4894"/>
  <c r="F4895"/>
  <c r="F4896"/>
  <c r="F4897"/>
  <c r="F4898"/>
  <c r="F4899"/>
  <c r="F4900"/>
  <c r="F4901"/>
  <c r="F4902"/>
  <c r="F4903"/>
  <c r="F4904"/>
  <c r="F4905"/>
  <c r="F4906"/>
  <c r="F4907"/>
  <c r="F4908"/>
  <c r="F4909"/>
  <c r="F4910"/>
  <c r="F4911"/>
  <c r="F4912"/>
  <c r="F4913"/>
  <c r="F4914"/>
  <c r="F4915"/>
  <c r="F4916"/>
  <c r="F4917"/>
  <c r="F4918"/>
  <c r="F4919"/>
  <c r="F4920"/>
  <c r="F4921"/>
  <c r="F4922"/>
  <c r="F4923"/>
  <c r="F4924"/>
  <c r="F4925"/>
  <c r="F4926"/>
  <c r="F4927"/>
  <c r="F4928"/>
  <c r="F4929"/>
  <c r="F4930"/>
  <c r="F4931"/>
  <c r="F4932"/>
  <c r="F4933"/>
  <c r="F4934"/>
  <c r="F4935"/>
  <c r="F4936"/>
  <c r="F4937"/>
  <c r="F4938"/>
  <c r="F4939"/>
  <c r="F4940"/>
  <c r="F4941"/>
  <c r="F4942"/>
  <c r="F4943"/>
  <c r="F4944"/>
  <c r="F4945"/>
  <c r="F4946"/>
  <c r="F4947"/>
  <c r="F4948"/>
  <c r="F4949"/>
  <c r="F4950"/>
  <c r="F4951"/>
  <c r="F4952"/>
  <c r="F4953"/>
  <c r="F4954"/>
  <c r="F4955"/>
  <c r="F4956"/>
  <c r="F4957"/>
  <c r="F4958"/>
  <c r="F4959"/>
  <c r="F4960"/>
  <c r="F4961"/>
  <c r="F4962"/>
  <c r="F4963"/>
  <c r="F4964"/>
  <c r="F4965"/>
  <c r="F4966"/>
  <c r="F4967"/>
  <c r="F4968"/>
  <c r="F4969"/>
  <c r="F4970"/>
  <c r="F4971"/>
  <c r="F4972"/>
  <c r="F4973"/>
  <c r="F4974"/>
  <c r="F4975"/>
  <c r="F4976"/>
  <c r="F4977"/>
  <c r="F4978"/>
  <c r="F4979"/>
  <c r="F4980"/>
  <c r="F4981"/>
  <c r="F4982"/>
  <c r="F4983"/>
  <c r="F4984"/>
  <c r="F4985"/>
  <c r="F4986"/>
  <c r="F4987"/>
  <c r="F4988"/>
  <c r="F4989"/>
  <c r="F4990"/>
  <c r="F4991"/>
  <c r="F4992"/>
  <c r="F4993"/>
  <c r="F4994"/>
  <c r="F4995"/>
  <c r="F4996"/>
  <c r="F4997"/>
  <c r="F4998"/>
  <c r="F4999"/>
  <c r="F5000"/>
  <c r="F5001"/>
  <c r="F5002"/>
  <c r="F5003"/>
  <c r="F5004"/>
  <c r="F5005"/>
  <c r="F5006"/>
  <c r="F5007"/>
  <c r="F5008"/>
  <c r="F5009"/>
  <c r="F5010"/>
  <c r="F5011"/>
  <c r="F5012"/>
  <c r="F5013"/>
  <c r="F5014"/>
  <c r="F5015"/>
  <c r="F5016"/>
  <c r="F5017"/>
  <c r="F5018"/>
  <c r="F5019"/>
  <c r="F5020"/>
  <c r="F5021"/>
  <c r="F5022"/>
  <c r="F5023"/>
  <c r="F5024"/>
  <c r="F5025"/>
  <c r="F5026"/>
  <c r="F5027"/>
  <c r="F5028"/>
  <c r="F5029"/>
  <c r="F5030"/>
  <c r="F5031"/>
  <c r="F5032"/>
  <c r="F5033"/>
  <c r="F5034"/>
  <c r="F5035"/>
  <c r="F5036"/>
  <c r="F5037"/>
  <c r="F5038"/>
  <c r="F5039"/>
  <c r="F5040"/>
  <c r="F5041"/>
  <c r="F5042"/>
  <c r="F5043"/>
  <c r="F5044"/>
  <c r="F5045"/>
  <c r="F5046"/>
  <c r="F5047"/>
  <c r="F5048"/>
  <c r="F5049"/>
  <c r="F5050"/>
  <c r="F5051"/>
  <c r="F5052"/>
  <c r="F5053"/>
  <c r="F5054"/>
  <c r="F5055"/>
  <c r="F5056"/>
  <c r="F5057"/>
  <c r="F5058"/>
  <c r="F5059"/>
  <c r="F5060"/>
  <c r="F5061"/>
  <c r="F5062"/>
  <c r="F5063"/>
  <c r="F5064"/>
  <c r="F5065"/>
  <c r="F5066"/>
  <c r="F5067"/>
  <c r="F5068"/>
  <c r="F5069"/>
  <c r="F5070"/>
  <c r="F5071"/>
  <c r="F5072"/>
  <c r="F5073"/>
  <c r="F5074"/>
  <c r="F5075"/>
  <c r="F5076"/>
  <c r="F5077"/>
  <c r="F5078"/>
  <c r="F5079"/>
  <c r="F5080"/>
  <c r="F5081"/>
  <c r="F5082"/>
  <c r="F5083"/>
  <c r="F5084"/>
  <c r="F5085"/>
  <c r="F5086"/>
  <c r="F5087"/>
  <c r="F5088"/>
  <c r="F5089"/>
  <c r="F5090"/>
  <c r="F5091"/>
  <c r="F5092"/>
  <c r="F5093"/>
  <c r="F5094"/>
  <c r="F5095"/>
  <c r="F5096"/>
  <c r="F5097"/>
  <c r="F5098"/>
  <c r="F5099"/>
  <c r="F5100"/>
  <c r="F5101"/>
  <c r="F5102"/>
  <c r="F5103"/>
  <c r="F5104"/>
  <c r="F5105"/>
  <c r="F5106"/>
  <c r="F5107"/>
  <c r="F5108"/>
  <c r="F5109"/>
  <c r="F5110"/>
  <c r="F5111"/>
  <c r="F5112"/>
  <c r="F5113"/>
  <c r="F5114"/>
  <c r="F5115"/>
  <c r="F5116"/>
  <c r="F5117"/>
  <c r="F5118"/>
  <c r="F5119"/>
  <c r="F5120"/>
  <c r="F5121"/>
  <c r="F5122"/>
  <c r="F5123"/>
  <c r="F5124"/>
  <c r="F5125"/>
  <c r="F5126"/>
  <c r="F5127"/>
  <c r="F5128"/>
  <c r="F5129"/>
  <c r="F5130"/>
  <c r="F5131"/>
  <c r="F5132"/>
  <c r="F5133"/>
  <c r="F5134"/>
  <c r="F5135"/>
  <c r="F5136"/>
  <c r="F5137"/>
  <c r="F5138"/>
  <c r="F5139"/>
  <c r="F5140"/>
  <c r="F5141"/>
  <c r="F5142"/>
  <c r="F5143"/>
  <c r="F5144"/>
  <c r="F5145"/>
  <c r="F5146"/>
  <c r="F5147"/>
  <c r="F5148"/>
  <c r="F5149"/>
  <c r="F5150"/>
  <c r="F5151"/>
  <c r="F5152"/>
  <c r="F5153"/>
  <c r="F5154"/>
  <c r="F5155"/>
  <c r="F5156"/>
  <c r="F5157"/>
  <c r="F5158"/>
  <c r="F5159"/>
  <c r="F5160"/>
  <c r="F5161"/>
  <c r="F5162"/>
  <c r="F5163"/>
  <c r="F5164"/>
  <c r="F5165"/>
  <c r="F5166"/>
  <c r="F5167"/>
  <c r="F5168"/>
  <c r="F5169"/>
  <c r="F5170"/>
  <c r="F5171"/>
  <c r="F5172"/>
  <c r="F5173"/>
  <c r="F5174"/>
  <c r="F5175"/>
  <c r="F5176"/>
  <c r="F5177"/>
  <c r="F5178"/>
  <c r="F5179"/>
  <c r="F5180"/>
  <c r="F5181"/>
  <c r="F5182"/>
  <c r="F5183"/>
  <c r="F5184"/>
  <c r="F5185"/>
  <c r="F5186"/>
  <c r="F5187"/>
  <c r="F5188"/>
  <c r="F5189"/>
  <c r="F5190"/>
  <c r="F5191"/>
  <c r="F5192"/>
  <c r="F5193"/>
  <c r="F5194"/>
  <c r="F5195"/>
  <c r="F5196"/>
  <c r="F5197"/>
  <c r="F5198"/>
  <c r="F5199"/>
  <c r="F5200"/>
  <c r="F5201"/>
  <c r="F5202"/>
  <c r="F5203"/>
  <c r="F5204"/>
  <c r="F5205"/>
  <c r="F5206"/>
  <c r="F5207"/>
  <c r="F5208"/>
  <c r="F5209"/>
  <c r="F5210"/>
  <c r="F5211"/>
  <c r="F5212"/>
  <c r="F5213"/>
  <c r="F5214"/>
  <c r="F5215"/>
  <c r="F5216"/>
  <c r="F5217"/>
  <c r="F5218"/>
  <c r="F5219"/>
  <c r="F5220"/>
  <c r="F5221"/>
  <c r="F5222"/>
  <c r="F5223"/>
  <c r="F5224"/>
  <c r="F5225"/>
  <c r="F5226"/>
  <c r="F5227"/>
  <c r="F5228"/>
  <c r="F5229"/>
  <c r="F5230"/>
  <c r="F5231"/>
  <c r="F5232"/>
  <c r="F5233"/>
  <c r="F5234"/>
  <c r="F5235"/>
  <c r="F5236"/>
  <c r="F5237"/>
  <c r="F5238"/>
  <c r="F5239"/>
  <c r="F5240"/>
  <c r="F5241"/>
  <c r="F5242"/>
  <c r="F5243"/>
  <c r="F5244"/>
  <c r="F5245"/>
  <c r="F5246"/>
  <c r="F5247"/>
  <c r="F5248"/>
  <c r="F5249"/>
  <c r="F5250"/>
  <c r="F5251"/>
  <c r="F5252"/>
  <c r="F5253"/>
  <c r="F5254"/>
  <c r="F5255"/>
  <c r="F5256"/>
  <c r="F5257"/>
  <c r="F5258"/>
  <c r="F5259"/>
  <c r="F5260"/>
  <c r="F5261"/>
  <c r="F5262"/>
  <c r="F5263"/>
  <c r="F5264"/>
  <c r="F5265"/>
  <c r="F5266"/>
  <c r="F5267"/>
  <c r="F5268"/>
  <c r="F5269"/>
  <c r="F5270"/>
  <c r="F5271"/>
  <c r="F5272"/>
  <c r="F5273"/>
  <c r="F5274"/>
  <c r="F5275"/>
  <c r="F5276"/>
  <c r="F5277"/>
  <c r="F5278"/>
  <c r="F5279"/>
  <c r="F5280"/>
  <c r="F5281"/>
  <c r="F5282"/>
  <c r="F5283"/>
  <c r="F5284"/>
  <c r="F5285"/>
  <c r="F5286"/>
  <c r="F5287"/>
</calcChain>
</file>

<file path=xl/sharedStrings.xml><?xml version="1.0" encoding="utf-8"?>
<sst xmlns="http://schemas.openxmlformats.org/spreadsheetml/2006/main" count="34787" uniqueCount="11185">
  <si>
    <t>ΠΛΗΡΩΣΗ ΘΕΣΕΩΝ ΜΕ ΣΕΙΡΑ ΠΡΟΤΕΡΑΙΟΤΗΤΑΣ (ΑΡΘΡΟ 18/Ν. 2190/1994) ΠΡΟΚΗΡΥΞΗ 3Κ/2018/02/02/2018</t>
  </si>
  <si>
    <t>Κ Α Τ Α Σ Τ Α Σ Η    Δ Ι Ο Ρ Ι Σ Τ Ε Ω Ν</t>
  </si>
  <si>
    <t>ΥΠΟΧΡΕΩΤΙΚΗΣ ΕΚΠΑΙΔΕΥΣΗΣ (ΥΕ)(ΕΝΙΑΙΟΣ)</t>
  </si>
  <si>
    <t>Α/Α</t>
  </si>
  <si>
    <t>Α.Μ.</t>
  </si>
  <si>
    <t>ΟΝΟΜΑΤΕΠΩΝΥΜΟ</t>
  </si>
  <si>
    <t>ΠΑΤΡΩΝΥΜΟ</t>
  </si>
  <si>
    <t>Α.Δ.Τ.</t>
  </si>
  <si>
    <t>ΜΟΝΑΔΙΚΟΣ ΚΩΔΙΚΟΣ ΥΠΟΨ.</t>
  </si>
  <si>
    <t>ΦΟΡΕΑΣ</t>
  </si>
  <si>
    <t>ΚΛΑΔΟΣ/ΕΙΔΙΚΟΤΗΤΑ</t>
  </si>
  <si>
    <t>ΚΩΔΙΚΟΣ ΘΕΣΗΣ</t>
  </si>
  <si>
    <t>ΤΥΠΟΣ ΠΙΝΑΚΑ</t>
  </si>
  <si>
    <t>ΕΝΤΟΠΙΟΤΗΤΑ</t>
  </si>
  <si>
    <t>ΕΙΔΙΚΕΣ ΙΔΙΟΤΗΤΕΣ</t>
  </si>
  <si>
    <t>ΒΑΘΜΟΛΟΓΙΑ</t>
  </si>
  <si>
    <t>DIMITRIADI EIRINI</t>
  </si>
  <si>
    <t>MOU</t>
  </si>
  <si>
    <t>ΑΙ071271</t>
  </si>
  <si>
    <t>ΔΗΜΟΣ ΚΑΛΛΙΘΕΑΣ ΝΟΤΙΟΥ ΤΟΜΕΑ ΑΘΗΝΩΝ</t>
  </si>
  <si>
    <t>ΥΕ ΕΡΓΑΤΩΝ ΚΑΘΑΡΙΟΤΗΤΑΣ</t>
  </si>
  <si>
    <t>ΒΠ</t>
  </si>
  <si>
    <t>EKSENAKI KONSTANTINOS</t>
  </si>
  <si>
    <t>IRA</t>
  </si>
  <si>
    <t>ΔΗΜΟΣ ΣΙΘΩΝΙΑΣ ΧΑΛΚΙΔΙΚΗΣ</t>
  </si>
  <si>
    <t>ΠΑΛ (ΜΕ ΕΜΠ.)</t>
  </si>
  <si>
    <t>KAFKI ELENI</t>
  </si>
  <si>
    <t>ELE</t>
  </si>
  <si>
    <t>Φ016899</t>
  </si>
  <si>
    <t>ΔΗΜΟΣ ΧΑΪΔΑΡΙΟΥ</t>
  </si>
  <si>
    <t>Kardaras Dimitris</t>
  </si>
  <si>
    <t>Kon</t>
  </si>
  <si>
    <t>ΑΚ104658</t>
  </si>
  <si>
    <t>ΔΗΜΟΣ ΑΝΔΡΟΥ ΚΥΚΛΑΔΩΝ</t>
  </si>
  <si>
    <t>ΥΕ ΕΡΓΑΤΩΝ ΒΟΗΘΗΤΙΚΟΥ ΠΡΟΣΩΠΙΚΟΥ (ΕΡΓΑΤΩΝ ΚΑΘΑΡΙΟΤΗΤΑΣ)</t>
  </si>
  <si>
    <t>ΧΩΡ. ΕΜΠ.</t>
  </si>
  <si>
    <t>KARIM ABDELAZIZ</t>
  </si>
  <si>
    <t>ALL</t>
  </si>
  <si>
    <t>ΔΗΜΟΣ ΚΕΡΚΥΡΑΣ ΚΕΡΚΥΡΑΣ</t>
  </si>
  <si>
    <t>ΥΕ ΕΡΓΑΤΩΝ ΚΑΘΑΡΙΟΤΗΤΑΣ - ΟΔΟΚΑΘΑΡΙΣΤΩΝ</t>
  </si>
  <si>
    <t>MARCENKOVA SNEZANA</t>
  </si>
  <si>
    <t>SER</t>
  </si>
  <si>
    <t>ΔΗΜΟΣ ΒΟΛΟΥ ΜΑΓΝΗΣΙΑΣ</t>
  </si>
  <si>
    <t>ΥΕ ΠΡΟΣΩΠΙΚΟΥ ΚΑΘΑΡΙΟΤΗΤΑΣ (ΣΥΝΟΔΟΥΣ ΑΠΟΡΡΙΜΜΑΤΟΦΟΡΩΝ)</t>
  </si>
  <si>
    <t>NTEMSIAS ANASTASIOS</t>
  </si>
  <si>
    <t>LAM</t>
  </si>
  <si>
    <t>AZ094440</t>
  </si>
  <si>
    <t>ΔΗΜΟΣ ΑΘΗΝΑΙΩΝ</t>
  </si>
  <si>
    <t>ΥΕ ΕΡΓΑΤΩΝ ΚΑΘΑΡΙΟΤΗΤΑΣ ΕΞΩΤΕΡΙΚΩΝ ΧΩΡΩΝ</t>
  </si>
  <si>
    <t>PULAJ MINA</t>
  </si>
  <si>
    <t>HAR</t>
  </si>
  <si>
    <t>Z0960933</t>
  </si>
  <si>
    <t>ΔΗΜΟΣ ΜΟΝΕΜΒΑΣΙΑΣ ΛΑΚΩΝΙΑΣ</t>
  </si>
  <si>
    <t>RIZAI ADRIATIK</t>
  </si>
  <si>
    <t>LIK</t>
  </si>
  <si>
    <t>BE3321880</t>
  </si>
  <si>
    <t>Smiliani Thewni</t>
  </si>
  <si>
    <t>Agg</t>
  </si>
  <si>
    <t>X128554</t>
  </si>
  <si>
    <t>ΕΙΔ.Α (ΜΕ ΕΜΠ.)</t>
  </si>
  <si>
    <t>TSEKA VASILIKI</t>
  </si>
  <si>
    <t>GEO</t>
  </si>
  <si>
    <t>ΑΑ971501</t>
  </si>
  <si>
    <t>ΔΗΜΟΣ ΠΟΛΥΓΥΡΟΥ ΧΑΛΚΙΔΙΚΗΣ</t>
  </si>
  <si>
    <t>VARESI DONIKA</t>
  </si>
  <si>
    <t>ΘΩΜ</t>
  </si>
  <si>
    <t>Α3459456</t>
  </si>
  <si>
    <t>ΔΗΜΟΣ ΠΑΠΑΓΟΥ ΧΟΛΑΡΓΟΥ ΒΟΡΕΙΟΥ ΤΟΜΕΑ ΑΘΗΝΩΝ</t>
  </si>
  <si>
    <t>VORONOVA ANASTASIA</t>
  </si>
  <si>
    <t>VLA</t>
  </si>
  <si>
    <t>ΔΗΜΟΣ ΖΩΓΡΑΦΟΥ ΑΘΗΝΩΝ</t>
  </si>
  <si>
    <t>ΥΕ ΠΡΟΣΩΠΙΚΟ ΚΑΘΑΡΙΟΤΗΤΑΣ ΕΡΓΑΤΩΝ ΓΕΝΙΚΑ</t>
  </si>
  <si>
    <t>ΑΒΔΑΛΑ ΕΙΡΗΝΗ</t>
  </si>
  <si>
    <t>ΛΕΩ</t>
  </si>
  <si>
    <t>Χ839227</t>
  </si>
  <si>
    <t>ΑΒΕΤΙΔΟΥ ΕΛΙΣΑΒΕΤ</t>
  </si>
  <si>
    <t>ΓΕΩ</t>
  </si>
  <si>
    <t>ΑΕ362159</t>
  </si>
  <si>
    <t>ΔΗΜΟΣ ΑΛΕΞΑΝΔΡΕΙΑΣ ΗΜΑΘΙΑΣ</t>
  </si>
  <si>
    <t>ΑΒΡΑΑΜ ΓΕΩΡΓΙΟΣ</t>
  </si>
  <si>
    <t>ΔΗΜ</t>
  </si>
  <si>
    <t>Τ799518</t>
  </si>
  <si>
    <t>ΔΗΜΟΣ ΠΥΛΑΙΑΣ ΧΟΡΤΙΑΤΗ ΘΕΣΣΑΛΟΝΙΚΗΣ</t>
  </si>
  <si>
    <t>ΕΙΔ.Β (ΜΕ ΕΜΠ.)</t>
  </si>
  <si>
    <t>ΑΒΡΑΜΑΚΗΣ ΜΙΧΑΛΗΣ</t>
  </si>
  <si>
    <t>ΣΤΕ</t>
  </si>
  <si>
    <t>Σ685390</t>
  </si>
  <si>
    <t>ΔΗΜΟΣ ΧΑΛΑΝΔΡΙΟΥ ΒΟΡΕΙΟΥ ΤΟΜΕΑ ΑΘΗΝΩΝ</t>
  </si>
  <si>
    <t>ΕΙΔ.Α (Χ. ΕΜΠ.)</t>
  </si>
  <si>
    <t>ΑΒΡΑΜΗ ΣΟΦΙΑ</t>
  </si>
  <si>
    <t>ΒΑΣ</t>
  </si>
  <si>
    <t>ΑΒ756853</t>
  </si>
  <si>
    <t>ΔΗΜΟΣ ΠΑΤΡΕΩΝ ΑΧΑΪΑΣ</t>
  </si>
  <si>
    <t>ΑΒΡΑΜΙΔΗΣ ΧΡΗΣΤΟΣ</t>
  </si>
  <si>
    <t>ΑΝΑ</t>
  </si>
  <si>
    <t>ΑΗ170532</t>
  </si>
  <si>
    <t>ΔΗΜΟΣ ΠΑΥΛΟΥ ΜΕΛΑ ΘΕΣΣΑΛΟΝΙΚΗΣ</t>
  </si>
  <si>
    <t>ΑΒΡΑΜΙΔΟΥ ΑΓΑΘΗ</t>
  </si>
  <si>
    <t>ΑΛΕ</t>
  </si>
  <si>
    <t>ΑΚ888295</t>
  </si>
  <si>
    <t>ΔΗΜΟΣ ΑΜΠΕΛΟΚΗΠΩΝ ΜΕΝΕΜΕΝΗΣ ΘΕΣΣΑΛΟΝΙΚΗΣ</t>
  </si>
  <si>
    <t>ΑΒΡΑΜΙΔΟΥ ΔΕΣΠΟΙΝΑ</t>
  </si>
  <si>
    <t>ΘΕΟ</t>
  </si>
  <si>
    <t>Σ545648</t>
  </si>
  <si>
    <t>ΑΒΡΑΜΙΔΟΥ ΕΥΔΟΚΙΑ</t>
  </si>
  <si>
    <t>ΚΩΝ</t>
  </si>
  <si>
    <t>ΑΜ854020</t>
  </si>
  <si>
    <t>ΔΗΜΟΣ ΘΕΣΣΑΛΟΝΙΚΗΣ ΘΕΣΣΑΛΟΝΙΚΗΣ</t>
  </si>
  <si>
    <t>ΑΒΡΑΜΙΔΟΥ ΜΑΡΙΑ</t>
  </si>
  <si>
    <t>ΣΤΑ</t>
  </si>
  <si>
    <t>Ρ147178</t>
  </si>
  <si>
    <t>ΔΗΜΟΣ ΑΜΑΡΟΥΣΙΟΥ ΑΘΗΝΩΝ</t>
  </si>
  <si>
    <t>ΕΙΔ.Β (Χ. ΕΜΠ.)</t>
  </si>
  <si>
    <t>Αβραμίδου Ελλίνα</t>
  </si>
  <si>
    <t>Βαλ</t>
  </si>
  <si>
    <t>ΑΕ690072</t>
  </si>
  <si>
    <t>ΑΒΡΑΜΙΩΤΗ ΣΤΑΜΑΤΙΑ</t>
  </si>
  <si>
    <t>ΜΑΡ</t>
  </si>
  <si>
    <t>ΑΒ823545</t>
  </si>
  <si>
    <t>ΥΕ ΚΑΘΑΡΙΣΤΡΙΩΝ</t>
  </si>
  <si>
    <t>ΑΒΡΑΜΟΠΟΥΛΟΥ ΔΙΟΝΥΣΙΑ</t>
  </si>
  <si>
    <t>ΧΡΗ</t>
  </si>
  <si>
    <t>Ρ143209</t>
  </si>
  <si>
    <t>ΑΓΑΔΑΚΟΣ ΣΤΑΥΡΟΣ</t>
  </si>
  <si>
    <t>Φ474105</t>
  </si>
  <si>
    <t>ΔΗΜΟΣ ΛΑΡΙΣΑΙΩΝ</t>
  </si>
  <si>
    <t>Αγαθαγγέλου Ευθαλία</t>
  </si>
  <si>
    <t>Γεώ</t>
  </si>
  <si>
    <t>Ρ185835</t>
  </si>
  <si>
    <t>ΑΓΑΘΟΣ ΠΑΝΑΓΙΩΤΗΣ</t>
  </si>
  <si>
    <t>ΣΠΥ</t>
  </si>
  <si>
    <t>ΑΕ779775</t>
  </si>
  <si>
    <t>ΑΓΓΕΛΑΚΟΠΟΥΛΟΣ ΙΩΑΝΝΗΣ</t>
  </si>
  <si>
    <t>ΑΝ262920</t>
  </si>
  <si>
    <t>ΑΓΓΕΛΑΚΟΠΟΥΛΟΣ ΣΩΤΗΡΙΟΣ</t>
  </si>
  <si>
    <t>ΑΚ354328</t>
  </si>
  <si>
    <t>ΔΗΜΟΣ ΖΗΡΟΥ</t>
  </si>
  <si>
    <t>ΥΕ ΕΡΓΑΤΩΝ ΚΑΘΑΡΙΟΤΗΤΑΣ (ΣΥΝΟΔΟΙ ΑΠΟΡΡΙΜΜΑΤΟΦΟΡΩΝ)</t>
  </si>
  <si>
    <t>ΑΓΓΕΛΑΚΟΠΟΥΛΟΥ ΑΣΗΜΩ</t>
  </si>
  <si>
    <t>ΣΩΤ</t>
  </si>
  <si>
    <t>ΑΒ757827</t>
  </si>
  <si>
    <t>ΑΓΓΕΛΑΤΟΥ ΙΩΑΝΝΑ</t>
  </si>
  <si>
    <t>Χ808983</t>
  </si>
  <si>
    <t>ΔΗΜΟΣ ΛΟΥΤΡΑΚΙΟΥ - ΠΕΡΑΧΩΡΑΣ - ΑΓΙΩΝ ΘΕΟΔΩΡΩΝ</t>
  </si>
  <si>
    <t>ΑΓΓΕΛΗ ΑΓΓΕΛΙΚΗ</t>
  </si>
  <si>
    <t>ΠΑΝ</t>
  </si>
  <si>
    <t>ΑΙ667713</t>
  </si>
  <si>
    <t>ΔΗΜΟΣ ΑΓΙΟΥ ΔΗΜΗΤΡΙΟΥ ΑΘΗΝΩΝ</t>
  </si>
  <si>
    <t xml:space="preserve">ΑΓΓΕΛΗ ΛΑΜΠΡΙΝΗ </t>
  </si>
  <si>
    <t>Ρ439062</t>
  </si>
  <si>
    <t>ΔΗΜΟΣ ΠΕΙΡΑΙΩΣ ΠΕΙΡΑΙΩΣ</t>
  </si>
  <si>
    <t>ΥΕ ΠΡΟΣΩΠΙΚΟ ΚΑΘΑΡΙΟΤΗΤΑΣ (ΕΡΓΑΤΩΝ ΚΑΘΑΡΙΟΤΗΤΑΣ)</t>
  </si>
  <si>
    <t>ΑΓΓΕΛΗ ΜΑΡΙΑΝΝΑ</t>
  </si>
  <si>
    <t>ΕΥΑ</t>
  </si>
  <si>
    <t>Χ586895</t>
  </si>
  <si>
    <t>ΔΗΜΟΣ ΑΙΓΑΛΕΩ ΑΘΗΝΩΝ</t>
  </si>
  <si>
    <t>ΥΕ ΕΡΓΑΤΕΣ ΚΑΘΑΡΙΟΤΗΤΑΣ (ΣΥΝΟΔΟΙ ΑΠΟΡΡΙΜΜΑΤΟΦΟΡΩΝ)</t>
  </si>
  <si>
    <t xml:space="preserve">Αγγελή  Αγγελική </t>
  </si>
  <si>
    <t>Δημ</t>
  </si>
  <si>
    <t>ΑΙ539543</t>
  </si>
  <si>
    <t>ΑΓΓΕΛΗΣ ΔΗΜΗΤΡΙΟΣ</t>
  </si>
  <si>
    <t>ΑΜ026010</t>
  </si>
  <si>
    <t>ΑΓΓΕΛΗΣ ΚΩΝΣΤΑΝΤΙΝΟΣ</t>
  </si>
  <si>
    <t>ΧΑΡ</t>
  </si>
  <si>
    <t>Μ510503</t>
  </si>
  <si>
    <t>ΑΓΓΕΛΗΣ ΠΑΝΑΓΙΩΤΗΣ</t>
  </si>
  <si>
    <t>ΑΚ430131</t>
  </si>
  <si>
    <t>ΔΗΜΟΣ ΚΑΡΔΙΤΣΑΣ ΚΑΡΔΙΤΣΑΣ</t>
  </si>
  <si>
    <t>ΑΓΓΕΛΙΔΗΣ ΝΙΚΟΛΑΟΣ</t>
  </si>
  <si>
    <t>Ξ475880</t>
  </si>
  <si>
    <t>ΔΗΜΟΣ ΣΠΑΤΩΝ-ΑΡΤΕΜΙΔΟΣ</t>
  </si>
  <si>
    <t xml:space="preserve">ΑΓΓΕΛΙΚΗ ΚΑΤΤΗ </t>
  </si>
  <si>
    <t>ΑΒ779629</t>
  </si>
  <si>
    <t>ΔΗΜΟΣ ΝΟΤΙΑΣ ΚΥΝΟΥΡΙΑΣ</t>
  </si>
  <si>
    <t>ΑΓΓΕΛΙΚΗ ΛΑΚΟΥΜΕΝΤΑ</t>
  </si>
  <si>
    <t>ΑΖ498740</t>
  </si>
  <si>
    <t>ΑΓΓΕΛΟΠΟΥΛΟΣ ΕΥΑΓΓΕΛΟΣ</t>
  </si>
  <si>
    <t>ΑΜ337689</t>
  </si>
  <si>
    <t>ΔΗΜΟΣ ΚΑΛΑΜΑΤΑΣ ΜΕΣΣΗΝΙΑΣ</t>
  </si>
  <si>
    <t>ΑΓΓΕΛΟΠΟΥΛΟΣ ΚΩΝΣΤΑΝΤΙΝΟΣ</t>
  </si>
  <si>
    <t>ΙΩΑ</t>
  </si>
  <si>
    <t>ΑΜ548024</t>
  </si>
  <si>
    <t>ΑΓΓΕΛΟΠΟΥΛΟΣ ΧΑΡΑΛAΜΠΟΣ</t>
  </si>
  <si>
    <t>Χ118897</t>
  </si>
  <si>
    <t>ΔΗΜΟΣ ΚΥΜΗΣ - ΑΛΙΒΕΡΙΟΥ</t>
  </si>
  <si>
    <t>ΥΕ ΕΡΓΑΤΩΝ ΚΑΘΑΡΙΟΤΗΤΑΣ (ΕΡΓΑΤΕΣ ΑΠΟΚΟΜΙΔΗΣ)</t>
  </si>
  <si>
    <t>ΑΓΓΕΛΟΠΟΥΛΟΥ ΑΘΑΝΑΣΙΑ</t>
  </si>
  <si>
    <t>ΑΒ212048</t>
  </si>
  <si>
    <t>ΑΓΓΕΛΟΠΟΥΛΟΥ ΓΡΗΓΟΡΙΑ</t>
  </si>
  <si>
    <t>ΑΜ099865</t>
  </si>
  <si>
    <t>ΔΗΜΟΣ ΤΡΙΦΥΛΙΑΣ</t>
  </si>
  <si>
    <t>ΥΕ ΕΡΓΑΤΩΝ ΚΑΘΑΡΙΟΤΗΤΑΣ / ΓΕΝΙΚΩΝ ΚΑΘΗΚΟΝΤΩΝ</t>
  </si>
  <si>
    <t>ΑΓΓΕΛΟΠΟΥΛΟΥ ΕΥΑΓΓΕΛΙΑ</t>
  </si>
  <si>
    <t>ΑΚ357302</t>
  </si>
  <si>
    <t>ΑΓΓΕΛΟΠΟΥΛΟΥ ΙΩΑΝΝΑ</t>
  </si>
  <si>
    <t>Σ848596</t>
  </si>
  <si>
    <t>ΔΗΜΟΣ ΛΕΣΒΟΥ ΛΕΣΒΟΥ</t>
  </si>
  <si>
    <t>ΑΓΓΕΛΟΠΟΥΛΟΥ ΠΟΛΥΤΙΜΗ</t>
  </si>
  <si>
    <t>ΑΝΔ</t>
  </si>
  <si>
    <t>ΑΙ699472</t>
  </si>
  <si>
    <t>ΔΗΜΟΣ ΗΛΙΟΥΠΟΛΕΩΣ ΑΘΗΝΩΝ</t>
  </si>
  <si>
    <t>ΑΓΓΕΛΟΠΟΥΛΟΥ ΣΟΦΙΑ</t>
  </si>
  <si>
    <t>ΑΗ381404</t>
  </si>
  <si>
    <t>ΔΗΜΟΣ ΘΗΡΑΣ ΚΥΚΛΑΔΩΝ</t>
  </si>
  <si>
    <t>ΑΓΓΕΛΟΥ ΕΛΙΣΣΑΒΕΤ</t>
  </si>
  <si>
    <t>ΗΛΙ</t>
  </si>
  <si>
    <t>ΑΒ895116</t>
  </si>
  <si>
    <t>ΔΗΜΟΣ ΣΕΡΡΩΝ</t>
  </si>
  <si>
    <t>ΑΓΙΟΜΥΡΓΙΑΝΝΑΚΗ ΕΙΡΗΝΗ</t>
  </si>
  <si>
    <t>ΑΝΤ</t>
  </si>
  <si>
    <t>ΑΜ089623</t>
  </si>
  <si>
    <t>ΔΗΜΟΣ ΚΕΡΑΤΣΙΝΙΟΥ ΔΡΑΠΕΤΣΩΝΑΣ ΠΕΙΡΑΙΩΣ</t>
  </si>
  <si>
    <t>ΑΓΟΡΑΣ ΔΗΜΗΤΡΙΟΣ</t>
  </si>
  <si>
    <t>ΕΜΜ</t>
  </si>
  <si>
    <t>ΑΜ904669</t>
  </si>
  <si>
    <t>ΔΗΜΟΣ ΚΟΜΟΤΗΝΗΣ ΡΟΔΟΠΗΣ</t>
  </si>
  <si>
    <t>ΥΕ ΠΡΟΣΩΠΙΚΟΥ ΚΑΘΑΡΙΟΤΗΤΑΣ</t>
  </si>
  <si>
    <t>ΑΓΟΡΟΣ ΧΡΗΣΤΟΣ</t>
  </si>
  <si>
    <t>ΑΘΑ</t>
  </si>
  <si>
    <t>Ρ908350</t>
  </si>
  <si>
    <t>ΑΓΡΙΔΟΠΟΥΛΟΥ ΑΘΑΝΑΣΙΑ</t>
  </si>
  <si>
    <t>Χ492025</t>
  </si>
  <si>
    <t>ΑΓΡΙΤΕΛΗΣ ΔΟΥΚΑΣ</t>
  </si>
  <si>
    <t>ΑΑ438440</t>
  </si>
  <si>
    <t>ΑΔΑΜΑΚΗΣ ΓΕΩΡΓΙΟΣ</t>
  </si>
  <si>
    <t>ΑΖ464148</t>
  </si>
  <si>
    <t>ΔΗΜΟΣ ΑΓΙΟΥ ΝΙΚΟΛΑΟΥ ΛΑΣΙΘΙΟΥ</t>
  </si>
  <si>
    <t>ΑΔΑΜΙΔΗΣ ΗΛΙΑΣ</t>
  </si>
  <si>
    <t>ΣΩΚ</t>
  </si>
  <si>
    <t>Φ189715</t>
  </si>
  <si>
    <t>ΔΗΜΟΣ ΚΑΤΕΡΙΝΗΣ ΠΙΕΡΙΑΣ</t>
  </si>
  <si>
    <t>ΑΔΑΜΙΔΗΣ ΡΑΦΑΗΛ</t>
  </si>
  <si>
    <t>ΑΙ327951</t>
  </si>
  <si>
    <t>ΔΗΜΟΣ ΣΚΙΑΘΟΥ ΣΠΟΡΑΔΩΝ</t>
  </si>
  <si>
    <t>ΥΕ ΕΡΓΑΤΕΣ ΚΑΘΑΡΙΟΤΗΤΑΣ</t>
  </si>
  <si>
    <t>ΑΔΑΜΙΔΟΥ ΝΑΝΑ</t>
  </si>
  <si>
    <t>ΑΑ248523</t>
  </si>
  <si>
    <t>ΑΔΑΜΙΔΟΥ ΣΑΒΒΑΤΟΥΛΑ</t>
  </si>
  <si>
    <t>ΠΑΥ</t>
  </si>
  <si>
    <t>ΑΒ135195</t>
  </si>
  <si>
    <t>ΔΗΜΟΣ ΞΑΝΘΗΣ ΞΑΝΘΗΣ</t>
  </si>
  <si>
    <t>ΥΕ ΕΡΓΑΤΩΝ (ΚΑΘΑΡΙΟΤΗΤΑΣ)</t>
  </si>
  <si>
    <t>ΑΔΑΜΟΠΟΥΛΟΣ ΑΝΑΣΤΑΣΙΟΣ</t>
  </si>
  <si>
    <t>ΝΙΚ</t>
  </si>
  <si>
    <t>Τ887421</t>
  </si>
  <si>
    <t>ΔΗΜΟΣ ΒΑΡΗΣ ΒΟΥΛΑΣ ΒΟΥΛΙΑΓΜΕΝΗΣ ΑΝΑΤΟΛΙΚΗΣ ΑΤΤΙΚΗΣ</t>
  </si>
  <si>
    <t>ΑΔΑΜΟΠΟΥΛΟΥ ΜΑΡΙΑ</t>
  </si>
  <si>
    <t>Χ839454</t>
  </si>
  <si>
    <t>ΑΔΑΜΟΣ ΙΩΑΝΝΗΣ</t>
  </si>
  <si>
    <t>ΓΡΗ</t>
  </si>
  <si>
    <t>ΑΗ283735</t>
  </si>
  <si>
    <t>ΣΥΝΔΕΣΜΟΣ ΥΔΡΕΥΣΗΣ ΔΗΜΟΥ ΚΑΡΔΙΤΣΑΣ ΚΑΙ ΛΟΙΠΩΝ ΔΗΜΩΝ</t>
  </si>
  <si>
    <t>ΥΕ ΒΟΗΘΗΤΙΚΟΥ ΠΡΟΣΩΠΙΚΟΥ (ΓΕΝΙΚΩΝ ΚΑΘΗΚΟΝΤΩΝ)</t>
  </si>
  <si>
    <t>ΑΗΔΩΝΗ ΜΑΓΔΑΛΙΝΗ</t>
  </si>
  <si>
    <t>ΑΙ264578</t>
  </si>
  <si>
    <t>ΔΗΜΟΣ ΛΕΥΚΑΔΟΣ ΛΕΥΚΑΔΑΣ</t>
  </si>
  <si>
    <t>ΑΘΑΝΑΣΙΑΔΗ ΚΑΤΙΝΑ</t>
  </si>
  <si>
    <t>ΑΜ441413</t>
  </si>
  <si>
    <t>ΔΗΜΟΣ ΠΑΓΓΑΙΟΥ</t>
  </si>
  <si>
    <t>ΑΘΑΝΑΣΙΑΔΗΣ ΗΛΙΑΣ</t>
  </si>
  <si>
    <t>ΛΑΖ</t>
  </si>
  <si>
    <t>Χ965585</t>
  </si>
  <si>
    <t>ΑΘΑΝΑΣΙΑΔΟΥ ΑΛΙΚΗ</t>
  </si>
  <si>
    <t>Π913289</t>
  </si>
  <si>
    <t>ΑΘΑΝΑΣΙΑΔΟΥ ΜΑΡΙΝΑ</t>
  </si>
  <si>
    <t>ΑΖ192329</t>
  </si>
  <si>
    <t>ΑΘΑΝΑΣΙΑΔΟΥ ΣΟΦΙΑ</t>
  </si>
  <si>
    <t>ΙΟΡ</t>
  </si>
  <si>
    <t>Χ394609</t>
  </si>
  <si>
    <t>ΔΗΜΟΣ ΒΟΪΟΥ ΚΟΖΑΝΗΣ</t>
  </si>
  <si>
    <t>ΥΕ ΕΡΓΑΤΩΝ ΚΑΘΑΡΙΟΤΗΤΑΣ - ΣΥΝΟΔΟΙ ΑΠΟΡΡΙΜΜΑΤΟΦΟΡΩΝ</t>
  </si>
  <si>
    <t>ΑΘΑΝΑΣΙΟΥ ΑΝΑΣΤΑΣΙΑ</t>
  </si>
  <si>
    <t>ΑΒ367249</t>
  </si>
  <si>
    <t>ΔΗΜΟΤΙΚΗ ΕΠΙΧΕΙΡΗΣΗ ΥΔΡΕΥΣΗΣ ΚΑΙ ΑΠΟΧΕΤΕΥΣΗΣ (Δ.Ε.Υ.Α.) ΛΑΓΚΑΔΑ</t>
  </si>
  <si>
    <t>ΥΕ ΕΡΓΑΤΩΝ ΓΕΝΙΚΩΝ ΚΑΘΗΚΟΝΤΩΝ</t>
  </si>
  <si>
    <t>ΑΘΑΝΑΣΙΟΥ ΒΑΣΙΛΕΙΟΣ</t>
  </si>
  <si>
    <t>ΜΗΝ</t>
  </si>
  <si>
    <t>ΑΗ024535</t>
  </si>
  <si>
    <t>ΔΗΜΟΣ ΕΛΕΥΣΙΝΟΣ ΔΥΤΙΚΗΣ ΑΤΤΙΚΗΣ</t>
  </si>
  <si>
    <t>ΑΘΑΝΑΣΙΟΥ ΕΜΜΑΝΟΥΗΛ</t>
  </si>
  <si>
    <t>ΑΔΑ</t>
  </si>
  <si>
    <t>ΑΝ851543</t>
  </si>
  <si>
    <t>ΑΘΑΝΑΣΙΟΥ ΧΡΙΣΤΙΝΑ</t>
  </si>
  <si>
    <t>ΑΕ770375</t>
  </si>
  <si>
    <t>ΔΗΜΟΣ ΩΡΑΙΟΚΑΣΤΡΟΥ ΘΕΣΣΑΛΟΝΙΚΗΣ</t>
  </si>
  <si>
    <t>ΑΘΑΝΑΣΟΠΟΥΛΟΣ ΚΩΝΣΤΑΝΤΙΝΟΣ</t>
  </si>
  <si>
    <t>Π855166</t>
  </si>
  <si>
    <t>ΑΘΑΝΑΣΟΠΟΥΛΟΣ ΦΩΤΙΟΣ</t>
  </si>
  <si>
    <t>ΕΥΣ</t>
  </si>
  <si>
    <t>Ρ981325</t>
  </si>
  <si>
    <t>Αθανασόπουλος Νικόλαος</t>
  </si>
  <si>
    <t>Ρ981323</t>
  </si>
  <si>
    <t>ΑΘΑΝΑΣΟΠΟΥΛΟΥ ΕΛΕΝΙΤΣΑ</t>
  </si>
  <si>
    <t>Ρ782026</t>
  </si>
  <si>
    <t>ΔΗΜΟΣ ΤΡΙΠΟΛΗΣ ΑΡΚΑΔΙΑΣ</t>
  </si>
  <si>
    <t>ΑΘΑΝΑΣΟΠΟΥΛΟΥ ΙΩΑΝΝΑ</t>
  </si>
  <si>
    <t>ΑΒ655104</t>
  </si>
  <si>
    <t>ΑΘΑΝΑΣΟΠΟΥΛΟΥ ΚΩΝΣΤΑΝΤΙΝΑ</t>
  </si>
  <si>
    <t>ΑΑ081787</t>
  </si>
  <si>
    <t>ΔΗΜΟΣ ΒΥΡΩΝΟΣ</t>
  </si>
  <si>
    <t>ΑΘΑΝΑΣΟΠΟΥΛΟΥ ΜΑΡΙΑ</t>
  </si>
  <si>
    <t>Ρ051253</t>
  </si>
  <si>
    <t>ΔΗΜΟΣ ΝΕΑΣ ΦΙΛΑΔΕΛΦΕΙΑΣ - ΝΕΑΣ ΧΑΛΚΗΔΟΝΑΣ</t>
  </si>
  <si>
    <t>ΑΘΑΝΑΣΟΠΟΥΛΟΥ ΠΑΡΑΣΚΕΥΗ</t>
  </si>
  <si>
    <t>ΑΚ628621</t>
  </si>
  <si>
    <t>ΑΘΟΥΣΑΚΗΣ ΝΙΚΟΛΑΟΣ</t>
  </si>
  <si>
    <t>ΑΝ479811</t>
  </si>
  <si>
    <t>ΔΗΜΟΣ ΠΛΑΤΑΝΙΑ ΧΑΝΙΩΝ</t>
  </si>
  <si>
    <t>ΥΕ ΕΡΓΑΤΩΝ ΚΑΘΑΡΙΟΤΗΤΑΣ (ΑΠΟΚΟΜΙΔΗΣ ΑΠΟΡΡΙΜΜΑΤΩΝ)</t>
  </si>
  <si>
    <t>ΑΙΒΑΛΙΩΤΗ ΟΛΓΑ</t>
  </si>
  <si>
    <t>ΑΖ081060</t>
  </si>
  <si>
    <t>ΑΙΔΟΝΙΔΗΣ ΣΑΜΟΥΗΛ</t>
  </si>
  <si>
    <t>ΑΜ871570</t>
  </si>
  <si>
    <t>ΑΚΑΜΑΤΟΥ ΧΡΥΣΟΥΛΑ</t>
  </si>
  <si>
    <t>ΑΜ927843</t>
  </si>
  <si>
    <t>ΑΚΛΗΡΟΥ ΑΘΑΝΑΣΙΑ</t>
  </si>
  <si>
    <t>ΧΡΙ</t>
  </si>
  <si>
    <t>Σ713526</t>
  </si>
  <si>
    <t>ΑΚΜΠΑΤΖΑΚΗ ΓΕΩΡΓΙΑ</t>
  </si>
  <si>
    <t>ΑΗ908932</t>
  </si>
  <si>
    <t>ΑΚΡΙΒΟΠΟΥΛΟΣ ΓΕΩΡΓΙΟΣ</t>
  </si>
  <si>
    <t>ΞΕΝ</t>
  </si>
  <si>
    <t>ΑΝ355003</t>
  </si>
  <si>
    <t>ΑΚΡΙΒΟΣ ΝΙΚΟΛΑΟΣ</t>
  </si>
  <si>
    <t>ΑΚ259767</t>
  </si>
  <si>
    <t>ΔΗΜΟΣ ΚΟΡΔΕΛΙΟΥ ΕΥΟΣΜΟΥ ΘΕΣΣΑΛΟΝΙΚΗΣ</t>
  </si>
  <si>
    <t>ΥΕ ΕΡΓΑΤΩΝ ΚΑΘΑΡΙΟΤΗΤΑΣ (ΕΞΩΤΕΡΙΚΩΝ ΧΩΡΩΝ)</t>
  </si>
  <si>
    <t>ΑΚΡΙΒΟΥ ΜΑΡΙΑ</t>
  </si>
  <si>
    <t>Τ392195</t>
  </si>
  <si>
    <t>ΔΗΜΟΣ ΦΑΡΣΑΛΩΝ ΛΑΡΙΣΑΣ</t>
  </si>
  <si>
    <t>ΑΚΡΙΤΙΔΟΥ ΑΛΕΞΑΝΔΡΑ</t>
  </si>
  <si>
    <t>ΑΕ219463</t>
  </si>
  <si>
    <t>ΔΗΜΟΣ ΕΜΜΑΝΟΥΗΛ ΠΑΠΠΑ ΣΕΡΡΩΝ</t>
  </si>
  <si>
    <t>ΑΚΤΥΠΗ ΓΕΩΡΓΙΑ</t>
  </si>
  <si>
    <t>ΔΙΟ</t>
  </si>
  <si>
    <t>ΑΒ600989</t>
  </si>
  <si>
    <t>ΑΛ ΓΚΑΟΥΧΑΡΙ ΕΛΕΝΗ</t>
  </si>
  <si>
    <t>ΑΙ144235</t>
  </si>
  <si>
    <t>ΔΗΜΟΣ ΑΛΙΑΡΤΟΥ - ΘΕΣΠΙΕΩΝ</t>
  </si>
  <si>
    <t>ΑΛΑΦΑΚΗΣ ΜΙΧΑΗΛ</t>
  </si>
  <si>
    <t>Χ320248</t>
  </si>
  <si>
    <t>ΔΗΜΟΣ ΡΟΔΟΥ</t>
  </si>
  <si>
    <t>ΑΛΕΒΙΖΟΣ ΒΑΣΙΛΕΙΟΣ</t>
  </si>
  <si>
    <t>ΑΕ791716</t>
  </si>
  <si>
    <t>ΔΗΜΟΣ ΜΑΝΤΟΥΔΙΟΥ - ΛΙΜΝΗΣ - ΑΓΙΑΣ ΑΝΝΑΣ</t>
  </si>
  <si>
    <t>ΑΛΕΒΙΖΟΥ ΑΙΚΑΤΕΡΙΝΗ</t>
  </si>
  <si>
    <t>ΑΚ000510</t>
  </si>
  <si>
    <t>ΑΛΕΒΙΖΟΥ ΜΑΡΙΑ- ΚΥΡΙΑΚΗ</t>
  </si>
  <si>
    <t>ΑΙ781736</t>
  </si>
  <si>
    <t>ΔΗΜΟΣ ΜΕΓΑΛΟΠΟΛΗΣ ΑΡΚΑΔΙΑΣ</t>
  </si>
  <si>
    <t>ΑΛΕΞΑΚΗ ΑΙΚΑΤΕΡΙΝΗ</t>
  </si>
  <si>
    <t>Σ768830</t>
  </si>
  <si>
    <t>ΔΗΜΟΣ ΘΕΡΜΗΣ ΘΕΣΣΑΛΟΝΙΚΗΣ</t>
  </si>
  <si>
    <t>ΑΛΕΞΑΚΗΣ ΙΩΑΝΝΗΣ</t>
  </si>
  <si>
    <t>ΑΜ502537</t>
  </si>
  <si>
    <t>ΑΛΕΞΑΝΔΡΑΚΗ ΣΤΑΥΡΟΥΛΑ</t>
  </si>
  <si>
    <t>ΑΓΑ</t>
  </si>
  <si>
    <t>Χ963562</t>
  </si>
  <si>
    <t>ΔΗΜΟΣ ΡΕΘΥΜΝΗΣ ΡΕΘΥΜΝΗΣ</t>
  </si>
  <si>
    <t>ΑΛΕΞΑΝΔΡΑΚΗΣ ΕΜΜΑΝΟΥΗΛ</t>
  </si>
  <si>
    <t>Σ487803</t>
  </si>
  <si>
    <t>ΑΛΕΞΑΝΔΡΙΔΗΣ ΓΕΩΡΓΙΟΣ</t>
  </si>
  <si>
    <t>ΑΙ180843</t>
  </si>
  <si>
    <t>ΑΛΕΞΑΝΔΡΙΔΟΥ ΕΥΑΓΓΕΛΙΑ</t>
  </si>
  <si>
    <t>ΑΚ857590</t>
  </si>
  <si>
    <t>ΔΗΜΟΣ ΚΑΛΑΜΑΡΙΑΣ ΘΕΣΣΑΛΟΝΙΚΗΣ</t>
  </si>
  <si>
    <t>ΥΕ ΠΡΟΣΩΠΙΚΟ ΚΑΘΑΡΙΟΤΗΤΑΣ</t>
  </si>
  <si>
    <t>ΑΛΕΞΙΟΥ ΒΑΣΙΛΕΙΟΣ</t>
  </si>
  <si>
    <t>Τ232758</t>
  </si>
  <si>
    <t>ΑΛΕΞΙΟΥ ΕΙΡΗΝΗ</t>
  </si>
  <si>
    <t>ΑΙ416493</t>
  </si>
  <si>
    <t>ΔΗΜΟΣ ΜΥΚΟΝΟΥ</t>
  </si>
  <si>
    <t>ΑΛΕΞΙΟΥ ΚΑΛΛΙΟΠΗ</t>
  </si>
  <si>
    <t>ΕΛΕ</t>
  </si>
  <si>
    <t>ΑΜ386175</t>
  </si>
  <si>
    <t>ΔΗΜΟΣ ΑΛΜΥΡΟΥ ΜΑΓΝΗΣΙΑΣ</t>
  </si>
  <si>
    <t>ΑΛΕΞΙΟΥ ΚΩΝΣΤΑΝΤΙΝΟΣ</t>
  </si>
  <si>
    <t>ΑΗ942398</t>
  </si>
  <si>
    <t>ΑΛΕΞΟΠΟΥΛΟΣ ΒΑΣΙΛΕΙΟΣ</t>
  </si>
  <si>
    <t>ΑΚ424878</t>
  </si>
  <si>
    <t>ΔΗΜΟΣ ΚΟΖΑΝΗΣ</t>
  </si>
  <si>
    <t>ΑΛΕΞΟΠΟΥΛΟΣ ΘΕΟΧΑΡΗΣ</t>
  </si>
  <si>
    <t>ΑΙ767888</t>
  </si>
  <si>
    <t>ΑΛΕΞΟΠΟΥΛΟΣ ΙΩΒ</t>
  </si>
  <si>
    <t>ΑΒ031307</t>
  </si>
  <si>
    <t>ΑΛΕΞΟΠΟΥΛΟΣ ΜΙΧΑΗΛ</t>
  </si>
  <si>
    <t>ΑΙ771215</t>
  </si>
  <si>
    <t>ΔΗΜΟΣ ΠΥΡΓΟΥ ΗΛΕΙΑΣ</t>
  </si>
  <si>
    <t>ΑΛΕΞΟΠΟΥΛΟΥ ΠΑΝΑΓΙΩΤΑ</t>
  </si>
  <si>
    <t>ΑΕ597205</t>
  </si>
  <si>
    <t>ΑΛΕΞΟΠΟΥΛΟΥ ΧΡΙΣΤΙΝΑ</t>
  </si>
  <si>
    <t>ΦΩΤ</t>
  </si>
  <si>
    <t>ΑΗ366586</t>
  </si>
  <si>
    <t>ΑΛΕΤΡΗ ΤΡΙΓΩΝΑ</t>
  </si>
  <si>
    <t>Φ474288</t>
  </si>
  <si>
    <t>ΔΗΜΟΣ ΤΕΜΠΩΝ</t>
  </si>
  <si>
    <t>ΑΛΕΥΡΑ ΜΑΡΙΑ</t>
  </si>
  <si>
    <t>Χ048702</t>
  </si>
  <si>
    <t>ΑΛΗ ΑΛΗ</t>
  </si>
  <si>
    <t>ΧΑΣ</t>
  </si>
  <si>
    <t>ΑΗ866266</t>
  </si>
  <si>
    <t>ΕΙΔ. (ΜΕ ΕΜΠ.)</t>
  </si>
  <si>
    <t>ΑΛΗ ΟΓΛΟΥ ΟΜΕΡ</t>
  </si>
  <si>
    <t>ΧΑΛ</t>
  </si>
  <si>
    <t>ΑΜ298891</t>
  </si>
  <si>
    <t>ΔΗΜΟΣ ΔΙΔΥΜΟΤΕΙΧΟΥ ΕΒΡΟΥ</t>
  </si>
  <si>
    <t>ΑΛΗΟΓΛΟΥ ΓΙΟΚΑΝ</t>
  </si>
  <si>
    <t>ΦΕΡ</t>
  </si>
  <si>
    <t>ΑΒ329286</t>
  </si>
  <si>
    <t>ΑΛΗΟΓΛΟΥ ΘΙΚΙΡΕΤ</t>
  </si>
  <si>
    <t>Χ699192</t>
  </si>
  <si>
    <t>ΑΛΗΟΓΛΟΥ ΣΕΛΗΜ</t>
  </si>
  <si>
    <t>ΙΜΠ</t>
  </si>
  <si>
    <t>ΑΖ828663</t>
  </si>
  <si>
    <t>ΑΛΙΒΑΝΟΓΛΟΥ ΚΩΝΣΤΑΝΤΙΝΟΣ</t>
  </si>
  <si>
    <t>Τ227234</t>
  </si>
  <si>
    <t>ΑΛΜΑΣΙΔΗΣ ΠΑΝΑΓΙΩΤΗΣ</t>
  </si>
  <si>
    <t>ΑΜ434222</t>
  </si>
  <si>
    <t>ΔΗΜΟΣ ΠΑΙΟΝΙΑΣ</t>
  </si>
  <si>
    <t>ΑΛΜΠΑΝΗ ΕΙΡΗΝΗ</t>
  </si>
  <si>
    <t>Ρ737103</t>
  </si>
  <si>
    <t>ΑΛΟΓΑΡΙΑΣΤΟΣ ΑΠΟΣΤΟΛΟΣ</t>
  </si>
  <si>
    <t>ΑΙ322696</t>
  </si>
  <si>
    <t>ΥΕ ΕΡΓΑΤΩΝ ΚΑΤΑΜΕΤΡΗΤΩΝ ΥΔΡΕΥΣΗΣ</t>
  </si>
  <si>
    <t>ΑΛΠΟΥ ΒΑΣΙΛΙΚΗ</t>
  </si>
  <si>
    <t>ΑΚ734867</t>
  </si>
  <si>
    <t>ΑΛΤΑΝΤΖΗΣ ΧΡΗΣΤΟΣ</t>
  </si>
  <si>
    <t>Χ971404</t>
  </si>
  <si>
    <t>ΔΗΜΟΣ ΑΜΦΙΠΟΛΗΣ ΣΕΡΡΩΝ</t>
  </si>
  <si>
    <t>ΑΛΤΙΝΤΖΗ ΑΘΑΝΑΣΙΑ</t>
  </si>
  <si>
    <t>Ρ968331</t>
  </si>
  <si>
    <t>ΑΛΤΙΝΤΖΗΣ ΜΙΧΑΗΛ</t>
  </si>
  <si>
    <t>ΑΑ397666</t>
  </si>
  <si>
    <t>ΑΜΑΝΑΤΙΔΟΥ ΘΕΟΔΩΡΑ</t>
  </si>
  <si>
    <t>Π863835</t>
  </si>
  <si>
    <t>ΑΜΑΞΟΠΟΥΛΟΥ ΒΑΡΒΑΡΑ</t>
  </si>
  <si>
    <t>Σ607656</t>
  </si>
  <si>
    <t>ΔΗΜΟΣ ΚΡΩΠΙΑΣ ΑΝΑΤΟΛΙΚΗΣ ΑΤΤΙΚΗΣ</t>
  </si>
  <si>
    <t>ΑΜΑΞΟΠΟΥΛΟΥ ΕΙΡΗΝΗ</t>
  </si>
  <si>
    <t>ΑΖ619402</t>
  </si>
  <si>
    <t xml:space="preserve">ΑΜΑΞΟΠΟΥΛΟΥ ΕΙΡΗΝΗ </t>
  </si>
  <si>
    <t>ΘΡΑ</t>
  </si>
  <si>
    <t>ΑΙ157367</t>
  </si>
  <si>
    <t>ΑΜΕΤ ΑΛΗ</t>
  </si>
  <si>
    <t>ΧΟΥ</t>
  </si>
  <si>
    <t>ΑΜ995792</t>
  </si>
  <si>
    <t>ΔΗΜΟΣ ΘΗΒΑΙΩΝ ΒΟΙΩΤΙΑΣ</t>
  </si>
  <si>
    <t>Αμέτογλου Εμιν</t>
  </si>
  <si>
    <t>Σια</t>
  </si>
  <si>
    <t>ΑΙ731269</t>
  </si>
  <si>
    <t>ΑΜΝΤΕΛ ΧΑΦΕΖ ΜΟΥΣΤΑΦΑ</t>
  </si>
  <si>
    <t>ΑΜΠ</t>
  </si>
  <si>
    <t>ΑΜ971779</t>
  </si>
  <si>
    <t>ΑΜΟΙΡΟΠΟΥΛΟΥ ΞΕΝΙΑ</t>
  </si>
  <si>
    <t>Φ156241</t>
  </si>
  <si>
    <t>ΑΜΠΑΤΖΗ ΓΕΩΡΓΙΑ</t>
  </si>
  <si>
    <t>ΑΗ170297</t>
  </si>
  <si>
    <t>ΑΜΠΕΛΑΣ ΔΗΜΗΤΡΙΟΣ</t>
  </si>
  <si>
    <t>Μ938666</t>
  </si>
  <si>
    <t>ΔΗΜΟΣ ΚΑΛΥΜΝΙΩΝ ΔΩΔΕΚΑΝΗΣΟΥ</t>
  </si>
  <si>
    <t>ΑΜΠΝΤΕΛ ΜΑΛΕΚ ΚΑΜΑΛ</t>
  </si>
  <si>
    <t>ΦΑΝ</t>
  </si>
  <si>
    <t>ΑΒ025392</t>
  </si>
  <si>
    <t>ΑΝΑΓΝΩΣΤΟΠΟΥΛΟΣ ΜΑΡΙΝΟΣ</t>
  </si>
  <si>
    <t>ΑΜ339244</t>
  </si>
  <si>
    <t>ΔΗΜΟΣ ΠΑΛΑΙΟΥ ΦΑΛΗΡΟΥ ΝΟΤΙΟΥ ΤΟΜΕΑ ΑΘΗΝΩΝ</t>
  </si>
  <si>
    <t>ΑΝΑΓΝΩΣΤΟΠΟΥΛΟΣ ΠΑΝΑΓΙΩΤΗΣ</t>
  </si>
  <si>
    <t>Μ888953</t>
  </si>
  <si>
    <t>ΔΗΜΟΣ ΣΤΥΛΙΔΑΣ ΦΘΙΩΤΙΔΑΣ</t>
  </si>
  <si>
    <t>ΥΕ ΕΡΓΑΤΩΝ ΓΕΝΙΚΑ (ΚΑΘΑΡΙΟΤΗΤΑΣ)</t>
  </si>
  <si>
    <t>ΑΝΑΓΝΩΣΤΟΠΟΥΛΟΥ ΑΝΝΑ</t>
  </si>
  <si>
    <t>Χ166276</t>
  </si>
  <si>
    <t>ΑΝΑΓΝΩΣΤΟΠΟΥΛΟΥ ΣΟΦΙΑ</t>
  </si>
  <si>
    <t>ΑΒ008115</t>
  </si>
  <si>
    <t>ΑΝΑΓΝΩΣΤΟΥ ΖΩΗ</t>
  </si>
  <si>
    <t>Λ624658</t>
  </si>
  <si>
    <t>ΔΗΜΟΣ ΑΡΓΟΥΣ ΟΡΕΣΤΙΚΟΥ ΚΑΣΤΟΡΙΑΣ</t>
  </si>
  <si>
    <t>ΑΝΑΓΝΩΣΤΟΥ ΘΩΜΑΗ</t>
  </si>
  <si>
    <t>ΑΖ300604</t>
  </si>
  <si>
    <t>ΑΝΑΓΝΩΣΤΟΥ ΚΩΝΣΤΑΝΤΙΝΟΣ</t>
  </si>
  <si>
    <t>ΑΖ537087</t>
  </si>
  <si>
    <t>ΔΗΜΟΣ ΠΑΡΓΑΣ</t>
  </si>
  <si>
    <t>ΑΝΑΛΥΤΗ ΑΝΤΩΝΙΑ</t>
  </si>
  <si>
    <t>Σ090263</t>
  </si>
  <si>
    <t>ΑΝΑΝΙΑΔΟΥ ΒΑΣΙΛΙΚΗ</t>
  </si>
  <si>
    <t>ΑΚ881700</t>
  </si>
  <si>
    <t>ΑΝΑΝΙΑΔΟΥ ΜΑΡΙΑ</t>
  </si>
  <si>
    <t>ΑΑ385803</t>
  </si>
  <si>
    <t>ΔΗΜΟΣ ΚΑΒΑΛΑΣ ΚΑΒΑΛΑΣ</t>
  </si>
  <si>
    <t>ΑΝΑΠΛΙΩΤΗΣ ΕΜΜΑΝΟΥΗΛ</t>
  </si>
  <si>
    <t>Ξ973713</t>
  </si>
  <si>
    <t>ΑΝΑΣΤΑΣΙΑ ΑΣΛΑΝΙΔΟΥ</t>
  </si>
  <si>
    <t>ΜΟΥ</t>
  </si>
  <si>
    <t>Ξ636859</t>
  </si>
  <si>
    <t>ΑΝΑΣΤΑΣΙΑΔΗ ΕΛΕΝΗ</t>
  </si>
  <si>
    <t>ΦΙΛ</t>
  </si>
  <si>
    <t>ΑΙ393083</t>
  </si>
  <si>
    <t>ΔΗΜΟΤΙΚΗ ΕΠΙΧΕΙΡΗΣΗ ΥΔΡΕΥΣΗΣ - ΑΠΟΧΕΤΕΥΣΗΣ (Δ.Ε.Υ.Α.) ΠΕΛΛΑΣ</t>
  </si>
  <si>
    <t>ΑΝΑΣΤΑΣΙΑΔΗ ΣΩΤΗΡΙΑ</t>
  </si>
  <si>
    <t>ΑΖ596024</t>
  </si>
  <si>
    <t>ΑΝΑΣΤΑΣΙΑΔΗΣ ΙΩΑΝΝΗΣ</t>
  </si>
  <si>
    <t>Μ398187</t>
  </si>
  <si>
    <t>ΔΗΜΟΣ ΛΑΓΚΑΔΑ ΘΕΣΣΑΛΟΝΙΚΗΣ</t>
  </si>
  <si>
    <t>ΥΕ ΕΡΓΑΤΩΝ (ΓΙΑ ΕΡΓΑΣΙΕΣ ΚΑΘΑΡΙΣΜΟΥ ΕΞΩΤΕΡΙΚΩΝ ΧΩΡΩΝ)</t>
  </si>
  <si>
    <t>ΑΝΑΣΤΑΣΙΑΔΗΣ ΚΩΝΣΤΑΝΤΙΝΟΣ</t>
  </si>
  <si>
    <t>ΑΙ654218</t>
  </si>
  <si>
    <t>ΑΝΑΣΤΑΣΙΑΔΗΣ ΝΕΚΤΑΡΙΟΣ</t>
  </si>
  <si>
    <t>ΠΑΡ</t>
  </si>
  <si>
    <t>ΑΕ331643</t>
  </si>
  <si>
    <t>ΑΝΑΣΤΑΣΙΑΔΗΣ ΧΡΗΣΤΟΣ</t>
  </si>
  <si>
    <t>ΑΗ252664</t>
  </si>
  <si>
    <t>ΔΗΜΟΣ ΗΓΟΥΜΕΝΙΤΣΑΣ ΘΕΣΠΡΩΤΙΑΣ</t>
  </si>
  <si>
    <t>Αναστασιάδης Πολυχρόνης</t>
  </si>
  <si>
    <t>Σάβ</t>
  </si>
  <si>
    <t>ΑΚ851789</t>
  </si>
  <si>
    <t xml:space="preserve">Αναστασιάδης  Γεώργιος </t>
  </si>
  <si>
    <t>Κων</t>
  </si>
  <si>
    <t>ΑΜ143349</t>
  </si>
  <si>
    <t>ΑΝΑΣΤΑΣΙΑΔΟΥ ΒΙΟΛΕΤΤΑ</t>
  </si>
  <si>
    <t>Χ031854</t>
  </si>
  <si>
    <t>ΔΗΜΟΣ ΝΙΚΑΙΑΣ ΑΓΙΟΥ ΙΩΑΝΝΗ ΡΕΝΤΗ ΠΕΙΡΑΙΩΣ</t>
  </si>
  <si>
    <t>ΑΝΑΣΤΑΣΙΑΔΟΥ ΕΛΕΝΗ</t>
  </si>
  <si>
    <t>ΑΚ865802</t>
  </si>
  <si>
    <t>Π670769</t>
  </si>
  <si>
    <t>ΑΝΑΣΤΑΣΙΟΥ ΑΙΚΑΤΕΡΙΝΗ</t>
  </si>
  <si>
    <t>ΣΕΡ</t>
  </si>
  <si>
    <t>ΑΑ977353</t>
  </si>
  <si>
    <t>ΔΗΜΟΣ ΛΟΚΡΩΝ</t>
  </si>
  <si>
    <t>ΑΝΑΣΤΑΣΙΟΥ ΣΟΦΙΑ</t>
  </si>
  <si>
    <t>ΝΑΠ</t>
  </si>
  <si>
    <t>Π733755</t>
  </si>
  <si>
    <t>ΔΗΜΟΣ ΠΕΡΙΣΤΕΡΙΟΥ ΔΥΤΙΚΟΥ ΤΟΜΕΑ ΑΘΗΝΩΝ</t>
  </si>
  <si>
    <t>ΑΝΑΣΤΑΣΟΠΟΥΛΟΣ ΓΕΡΑΣΙΜΟΣ</t>
  </si>
  <si>
    <t>Τ963274</t>
  </si>
  <si>
    <t>ΔΗΜΟΤΙΚΗ ΕΠΙΧΕΙΡΗΣΗ ΥΔΡΕΥΣΗΣ - ΑΠΟΧΕΤΕΥΣΗΣ (Δ.Ε.Υ.Α.) ΔΗΜΟΥ ΚΑΛΑΜΑΤΑΣ</t>
  </si>
  <si>
    <t>ΥΕ ΕΡΓΑΤΩΝ</t>
  </si>
  <si>
    <t>ΑΝΑΣΤΑΣΟΠΟΥΛΟΣ ΝΙΚΟΛΑΟΣ</t>
  </si>
  <si>
    <t>Χ936369</t>
  </si>
  <si>
    <t>ΑΝΑΣΤΑΣΟΠΟΥΛΟΥ ΑΝΑΣΤΑΣΙΑ</t>
  </si>
  <si>
    <t>ΑΜ211321</t>
  </si>
  <si>
    <t>ΔΗΜΟΣ ΦΙΛΟΘΕΗΣ ΨΥΧΙΚΟΥ ΒΟΡΕΙΟΥ ΤΟΜΕΑ ΑΘΗΝΩΝ</t>
  </si>
  <si>
    <t>ΑΝΑΣΤΑΣΟΠΟΥΛΟΥ ΒΑΣΙΛΙΚΗ</t>
  </si>
  <si>
    <t>ΑΚ752732</t>
  </si>
  <si>
    <t>ΑΝΑΣΤΑΣΟΠΟΥΛΟΥ ΓΕΩΡΓΙΑ</t>
  </si>
  <si>
    <t>ΑΙ651581</t>
  </si>
  <si>
    <t>ΑΝΑΣΤΑΣΟΠΟΥΛΟΥ ΜΑΡΙΑ</t>
  </si>
  <si>
    <t>ΑΙ848576</t>
  </si>
  <si>
    <t>ΔΗΜΟΣ ΠΑΤΜΟΥ ΔΩΔΕΚΑΝΗΣΟΥ</t>
  </si>
  <si>
    <t>ΑΝΑΣΤΑΣΟΠΟΥΛΟΥ ΠΑΝΑΓΙΩΤΑ</t>
  </si>
  <si>
    <t>ΑΝ038637</t>
  </si>
  <si>
    <t>ΑΝΑΣΤΟΠΟΥΛΟΥ ΕΛΕΝΗ</t>
  </si>
  <si>
    <t>Φ053254</t>
  </si>
  <si>
    <t>ΑΝΑΤΟΛΗ ΖΑΧΑΡΟΥΛΑ</t>
  </si>
  <si>
    <t>Π546444</t>
  </si>
  <si>
    <t>ΑΝΔΡΕΑΔΗΣ ΚΟΣΜΑΣ</t>
  </si>
  <si>
    <t>ΑΙ347226</t>
  </si>
  <si>
    <t>ΑΝΔΡΕΑΔΗΣ ΧΑΡΑΛΑΜΠΟΣ</t>
  </si>
  <si>
    <t>ΑΡΙ</t>
  </si>
  <si>
    <t>ΑΖ818294</t>
  </si>
  <si>
    <t>ΑΝΔΡΕΑΔΟΥ ΕΛΕΝΗ</t>
  </si>
  <si>
    <t>ΑΑ869136</t>
  </si>
  <si>
    <t>ΔΗΜΟΣ ΑΡΙΣΤΟΤΕΛΗ ΧΑΛΚΙΔΙΚΗΣ</t>
  </si>
  <si>
    <t>ΑΝΔΡΕΑΚΟΥ ΑΘΑΝΑΣΙΑ</t>
  </si>
  <si>
    <t>ΣΤΥ</t>
  </si>
  <si>
    <t>ΑΜ253663</t>
  </si>
  <si>
    <t>ΑΝΔΡΕΑΚΟΥ ΣΤΑΥΡΟΥΛΑ</t>
  </si>
  <si>
    <t>ΜΙΧ</t>
  </si>
  <si>
    <t>Ξ261385</t>
  </si>
  <si>
    <t>ΑΝΔΡΕΟΓΛΟΥ ΠΑΝΑΓ</t>
  </si>
  <si>
    <t>Χ683875</t>
  </si>
  <si>
    <t>ΑΝΔΡΕΟΠΟΥΛΟΣ ΧΑΡΑΛΑΜΠΟΣ</t>
  </si>
  <si>
    <t>ΑΖ712845</t>
  </si>
  <si>
    <t>ΑΝΔΡΕΟΠΟΥΛΟΥ ΑΙΚΑΤΕΡΙΝΗ</t>
  </si>
  <si>
    <t>Ν510065</t>
  </si>
  <si>
    <t>ΑΝΔΡΕΟΥ ΝΙΚΟΛΑΟΣ</t>
  </si>
  <si>
    <t>ΑΒ639115</t>
  </si>
  <si>
    <t>ΔΗΜΟΤΙΚΗ ΕΠΙΧΕΙΡΗΣΗ ΥΔΡΕΥΣΗΣ - ΑΠΟΧΕΤΕΥΣΗΣ (Δ.Ε.Υ.Α.) ΔΗΜΟΥ ΚΩ</t>
  </si>
  <si>
    <t>ΑΝΔΡΙΑΝΗ ΚΑΤΣΑΝΗ</t>
  </si>
  <si>
    <t>Σ608577</t>
  </si>
  <si>
    <t>ΑΝΔΡΙΑΝΟΣ ΧΑΡΙΤΩΝ</t>
  </si>
  <si>
    <t>Φ224031</t>
  </si>
  <si>
    <t>ΑΝΔΡΙΚΟΠΟΥΛΟΣ ΘΕΟΔΩΡΟΣ</t>
  </si>
  <si>
    <t>Φ038011</t>
  </si>
  <si>
    <t>ΔΗΜΟΣ ΠΑΙΑΝΙΑΣ ΑΝΑΤΟΛΙΚΗΣ ΑΤΤΙΚΗΣ</t>
  </si>
  <si>
    <t>ΑΝΔΡΙΚΟΠΟΥΛΟΥ ΔΙΟΝΥΣΙΑ</t>
  </si>
  <si>
    <t>Τ107073</t>
  </si>
  <si>
    <t>ΑΝΔΡΙΚΟΠΟΥΛΟΥ ΜΑΡΙΑ</t>
  </si>
  <si>
    <t>ΑΖ705794</t>
  </si>
  <si>
    <t>ΑΝΔΡΙΚΟΣ ΠΡΟΚΟΠΙΟΣ</t>
  </si>
  <si>
    <t>Π746436</t>
  </si>
  <si>
    <t>ΔΗΜΟΣ ΔΙΡΦΥΩΝ - ΜΕΣΣΑΠΙΩΝ</t>
  </si>
  <si>
    <t>ΑΝΔΡΙΟΠΟΥΛΟΣ ΗΛΙΑΣ</t>
  </si>
  <si>
    <t>ΑΝ529430</t>
  </si>
  <si>
    <t>ΔΗΜΟΣ ΑΓΙΩΝ ΑΝΑΡΓΥΡΩΝ-ΚΑΜΑΤΕΡΟΥ</t>
  </si>
  <si>
    <t>ΑΝΔΡΙΩΤΗΣ ΡΗΓΙΝΟΣ</t>
  </si>
  <si>
    <t>Χ426779</t>
  </si>
  <si>
    <t>ΔΗΜΟΣ ΣΚΟΠΕΛΟΥ</t>
  </si>
  <si>
    <t>ΑΝΔΡΟΝΗΣ ΧΡΗΣΤΟΣ</t>
  </si>
  <si>
    <t>ΜΙΛ</t>
  </si>
  <si>
    <t>ΑΒ324903</t>
  </si>
  <si>
    <t>ΔΗΜΟΣ ΓΛΥΦΑΔΑΣ ΑΘΗΝΩΝ</t>
  </si>
  <si>
    <t>ΑΝΔΡΟΥΛΑΚΗ ΝΙΚΗ</t>
  </si>
  <si>
    <t>ΑΚ467168</t>
  </si>
  <si>
    <t>ΔΗΜΟΣ ΜΑΛΕΒΙΖΙΟΥ ΗΡΑΚΛΕΙΟΥ</t>
  </si>
  <si>
    <t>ΑΝΔΡΟΥΤΣΟΠΟΥΛΟΥ ΑΝΑΣΤΑΣΙΑ</t>
  </si>
  <si>
    <t>ΑΙ762168</t>
  </si>
  <si>
    <t>ΔΗΜΟΣ ΣΙΚΥΩΝΙΩΝ ΚΟΡΙΝΘΙΑΣ</t>
  </si>
  <si>
    <t>ΥΕ ΕΡΓΑΤΕΣ ΚΑΘΑΡΙΟΤΗΤΑΣ ΓΕΝΙΚΩΝ ΚΑΘΗΚΟΝΤΩΝ</t>
  </si>
  <si>
    <t>ΑΝΔΡΟΥΤΣΟΣ ΒΑΣΙΛΕΙΟΣ</t>
  </si>
  <si>
    <t>ΑΒ382586</t>
  </si>
  <si>
    <t>ΔΗΜΟΣ ΑΓΙΑΣ ΠΑΡΑΣΚΕΥΗΣ ΑΘΗΝΩΝ</t>
  </si>
  <si>
    <t xml:space="preserve">ΑΝΔΡΩΝΗΣ ΙΩΑΝΝΗΣ </t>
  </si>
  <si>
    <t>ΑΝ796534</t>
  </si>
  <si>
    <t>ΑΝΕΖΙΑ ΑΙΚΑΤΕΡΙΝΗ</t>
  </si>
  <si>
    <t>ΑΕ958747</t>
  </si>
  <si>
    <t>ΑΝΕΜΟΠΟΥΛΟΥ ΑΓΓΕΛΙΚΗ</t>
  </si>
  <si>
    <t>Ξ829098</t>
  </si>
  <si>
    <t>ΑΝΕΜΟΥ ΔΕΣΠΟΙΝΑ</t>
  </si>
  <si>
    <t>ΑΒ009465</t>
  </si>
  <si>
    <t>ΑΝΕΤΟΥΔΗ ΕΛΙΣΣΑΒΕΤ</t>
  </si>
  <si>
    <t>ΑΚ441413</t>
  </si>
  <si>
    <t>ΑΝΘΗ ΙΩΑΝΝΑ</t>
  </si>
  <si>
    <t>Τ360156</t>
  </si>
  <si>
    <t>ΑΝΘΟΠΟΥΛΟΣ ΒΑΣΙΛΕΙΟΣ</t>
  </si>
  <si>
    <t>ΤΙΜ</t>
  </si>
  <si>
    <t>Σ090611</t>
  </si>
  <si>
    <t>ΔΗΜΟΣ ΑΣΠΡΟΠΥΡΓΟΥ ΔΥΤΙΚΗΣ ΑΤΤΙΚΗΣ</t>
  </si>
  <si>
    <t>ΑΝΘΟΠΟΥΛΟΣ ΝΙΚΟΛΑΟΣ</t>
  </si>
  <si>
    <t>ΕΥΘ</t>
  </si>
  <si>
    <t>Φ464131</t>
  </si>
  <si>
    <t>ΑΝΘΡΑΚΕΥΣ ΙΩΑΝΝΗΣ</t>
  </si>
  <si>
    <t>Ρ310883</t>
  </si>
  <si>
    <t>ΔΗΜΟΣ ΒΕΡΟΙΑΣ ΗΜΑΘΙΑΣ</t>
  </si>
  <si>
    <t>ΑΝΘΡΑΚΟΠΟΥΛΟΥ ΠΑΡΑΣΚΕΥΗ</t>
  </si>
  <si>
    <t>ΑΒ141186</t>
  </si>
  <si>
    <t>ΑΝΘΥΜΙΔΗΣ ΝΙΚΟΛΑΟΣ</t>
  </si>
  <si>
    <t>ΑΗ158300</t>
  </si>
  <si>
    <t>ΑΝΝΙΤΣΑΚΗ ΜΑΡΙΑ</t>
  </si>
  <si>
    <t>Ν966955</t>
  </si>
  <si>
    <t>ΔΗΜΟΣ ΑΠΟΚΟΡΩΝΟΥ ΧΑΝΙΩΝ</t>
  </si>
  <si>
    <t>ΑΝΤΖΟΥΛΑΤΟΥ ΕΥΑΝΘΙΑ</t>
  </si>
  <si>
    <t>ΑΝ068564</t>
  </si>
  <si>
    <t>ΑΝΤΩΝΑΚΑ ΘΕΟΔΩΡΑ</t>
  </si>
  <si>
    <t>Χ264122</t>
  </si>
  <si>
    <t>ΑΝΤΩΝΑΚΗΣ ΜΙΧΑΗΛ</t>
  </si>
  <si>
    <t>ΑΖ950794</t>
  </si>
  <si>
    <t>ΔΗΜΟΣ ΚΑΡΠΑΘΟΥ</t>
  </si>
  <si>
    <t>ΑΝΤΩΝΑΚΟΠΟΥΛΟΣ ΧΑΡΑΛΑΜΠΟΣ</t>
  </si>
  <si>
    <t>ΑΜ301860</t>
  </si>
  <si>
    <t>ΑΝΤΩΝΙΑΔΗΣ ΘΕΟΧΑΡΗΣ</t>
  </si>
  <si>
    <t>ΑΗ922096</t>
  </si>
  <si>
    <t>ΑΝΤΩΝΙΑΔΗΣ ΙΩΑΝΝΗΣ</t>
  </si>
  <si>
    <t>Φ227317</t>
  </si>
  <si>
    <t>ΔΗΜΟΣ ΚΑΤΩ ΝΕΥΡΟΚΟΠΙΟΥ</t>
  </si>
  <si>
    <t>ΑΝΤΩΝΙΑΔΗΣ ΚΩΝΣΤΑΝΤΙΝΟΣ</t>
  </si>
  <si>
    <t>ΣΑΒ</t>
  </si>
  <si>
    <t>ΑΗ400996</t>
  </si>
  <si>
    <t>ΑΝΤΩΝΙΑΔΗΣ ΜΙΧΑΗΛ</t>
  </si>
  <si>
    <t>ΑΒ456111</t>
  </si>
  <si>
    <t>ΑΝΤΩΝΙΑΔΗΣ ΠΑΡΑΣΚΕΥΑΣ</t>
  </si>
  <si>
    <t>ΑΝΕ</t>
  </si>
  <si>
    <t>ΑΜ396487</t>
  </si>
  <si>
    <t>ΑΝΤΩΝΙΑΔΗΣ ΣΤΥΛΙΑΝΟΣ</t>
  </si>
  <si>
    <t>ΑΕ673318</t>
  </si>
  <si>
    <t>ΑΝΤΩΝΙΑΔΟΥ ΕΛΛΑΔΑ</t>
  </si>
  <si>
    <t>ΑΚ273459</t>
  </si>
  <si>
    <t>ΑΝΤΩΝΙΑΔΟΥ ΕΥΑΓΓΕΛΙΑ</t>
  </si>
  <si>
    <t>ΑΒ711842</t>
  </si>
  <si>
    <t>ΑΝΤΩΝΙΑΔΟΥ ΜΑΡΙΑ</t>
  </si>
  <si>
    <t>ΑΗ787472</t>
  </si>
  <si>
    <t xml:space="preserve">ΑΝΤΩΝΙΝΗΣ ΑΝΔΡΕΑΣ </t>
  </si>
  <si>
    <t>Π621526</t>
  </si>
  <si>
    <t>ΑΝΤΩΝΙΟΣ ΓΙΟΥΡΜΕΤΑΚΗΣ</t>
  </si>
  <si>
    <t>Μ955366</t>
  </si>
  <si>
    <t>ΑΝΤΩΝΙΟΥ ΒΑΣΙΛΕΙΑ</t>
  </si>
  <si>
    <t>Φ326502</t>
  </si>
  <si>
    <t>ΔΗΜΟΣ ΣΑΜΟΥ ΣΑΜΟΥ</t>
  </si>
  <si>
    <t>ΑΝΤΩΝΙΟΥ ΓΕΩΡΓΙΟΣ</t>
  </si>
  <si>
    <t>ΑΙ986794</t>
  </si>
  <si>
    <t>ΑΝΤΩΝΙΟΥ ΘΕΜΙΣ</t>
  </si>
  <si>
    <t>ΑΚ807848</t>
  </si>
  <si>
    <t>ΑΝΤΩΝΙΟΥ ΚΩΝΣΤΑΝΤΙΝΑ</t>
  </si>
  <si>
    <t>Σ992626</t>
  </si>
  <si>
    <t>ΔΗΜΟΤΙΚΗ ΕΠΙΧΕΙΡΗΣΗ ΥΔΡΕΥΣΗΣ ΑΠΟΧΕΤΕΥΣΗΣ (Δ.Ε.Υ.Α.) ΔΗΜΟΥ ΧΑΝΙΩΝ</t>
  </si>
  <si>
    <t>ΑΝΤΩΝΙΟΥ ΑΙΓΗΝΙΤΗΣ ΠΑΝΑΓΙΩΤΗΣ</t>
  </si>
  <si>
    <t>ΑΖ106075</t>
  </si>
  <si>
    <t>ΑΝΤΩΝΙΤΣΑ ΒΑΣΙΛΙΚΗ ΚΥΡΙΑΚΗ</t>
  </si>
  <si>
    <t>ΑΗ281584</t>
  </si>
  <si>
    <t>ΥΕ ΚΑΘΑΡΙΣΤΩΝ</t>
  </si>
  <si>
    <t>ΑΝΤΩΝΟΠΟΥΛΟΣ ΑΝΤΩΝΙΟΣ</t>
  </si>
  <si>
    <t>ΑΒ043128</t>
  </si>
  <si>
    <t>ΔΗΜΟΣ ΣΑΡΩΝΙΚΟΥ ΑΝΑΤΟΛΙΚΗΣ ΑΤΤΙΚΗΣ</t>
  </si>
  <si>
    <t>ΑΝΤΩΝΟΠΟΥΛΟΣ ΒΑΣΙΛΕΙΟΣ</t>
  </si>
  <si>
    <t>Τ385268</t>
  </si>
  <si>
    <t>ΑΝΤΩΝΟΠΟΥΛΟΣ ΓΕΩΡΓΙΟΣ</t>
  </si>
  <si>
    <t>Χ936964</t>
  </si>
  <si>
    <t>ΔΗΜΟΣ ΜΕΣΣΗΝΗΣ ΜΕΣΣΗΝΙΑΣ</t>
  </si>
  <si>
    <t>ΑΝΤΩΝΟΠΟΥΛΟΥ ΕΥΔΟΚΙΑ</t>
  </si>
  <si>
    <t>Ρ520386</t>
  </si>
  <si>
    <t>ΑΝΤΩΝΟΠΟΥΛΟΥ ΚΩΝΣΤΑΝΤΙΝΑ</t>
  </si>
  <si>
    <t>ΑΠΟ</t>
  </si>
  <si>
    <t>ΑΕ261948</t>
  </si>
  <si>
    <t>ΑΝΤΩΝΟΠΟΥΛΟΥ ΧΑΡΙΚΛΕΙΑ</t>
  </si>
  <si>
    <t>ΑΙ905748</t>
  </si>
  <si>
    <t>ΔΗΜΟΣ ΑΛΕΞΑΝΔΡΟΥΠΟΛΗΣ ΕΒΡΟΥ</t>
  </si>
  <si>
    <t xml:space="preserve">ΑΝΤΩΝΟΠΟΥΛΟΥ  ΑΙΚΑΤΕΡΙΝΗ </t>
  </si>
  <si>
    <t>Ρ608069</t>
  </si>
  <si>
    <t>ΑΝΥΦΑΝΤΗΣ ΑΝΤΩΝΙΟΣ</t>
  </si>
  <si>
    <t>Σ060947</t>
  </si>
  <si>
    <t>ΔΗΜΟΣ ΩΡΩΠΟΥ ΑΝΑΤΟΛΙΚΗΣ ΑΤΤΙΚΗΣ</t>
  </si>
  <si>
    <t>ΑΝΩΓΕΙΑΝΑΚΗ ΟΥΡΑΝΙΑ</t>
  </si>
  <si>
    <t>ΑΣΤ</t>
  </si>
  <si>
    <t>ΑΑ374709</t>
  </si>
  <si>
    <t>ΔΗΜΟΣ ΗΡΑΚΛΕΙΟΥ ΚΡΗΤΗΣ</t>
  </si>
  <si>
    <t>ΑΝΩΓΕΙΑΝΑΚΗ ΣΠΥΡΙΔΟΥΛΑ</t>
  </si>
  <si>
    <t>Σ420441</t>
  </si>
  <si>
    <t>ΑΞΑΡΙΔΗΣ ΜΙΧΑΗΛ</t>
  </si>
  <si>
    <t>ΑΒ433586</t>
  </si>
  <si>
    <t>ΔΗΜΟΣ ΕΟΡΔΑΙΑΣ ΔΥΤΙΚΗΣ ΜΑΚΕΔΟΝΙΑΣ</t>
  </si>
  <si>
    <t>ΑΞΙΑΡΛΗ ΧΡΙΣΤΙΝΑ</t>
  </si>
  <si>
    <t>ΑΗ838337</t>
  </si>
  <si>
    <t>ΔΗΜΟΣ ΝΕΑΣ ΠΡΟΠΟΝΤΙΔΑΣ ΧΑΛΚΙΔΙΚΗΣ</t>
  </si>
  <si>
    <t>ΑΞΙΟΜΑΚΑΡΟΥ ΓΡΗΓΟΡΙΑ</t>
  </si>
  <si>
    <t>ΑΕ076359</t>
  </si>
  <si>
    <t>ΔΗΜΟΣ ΡΑΦΗΝΑΣ - ΠΙΚΕΡΜΙΟΥ</t>
  </si>
  <si>
    <t>ΑΠΑΖΙΔΟΥ ΕΛΕΝΗ</t>
  </si>
  <si>
    <t>ΒΛΑ</t>
  </si>
  <si>
    <t>ΑΖ363956</t>
  </si>
  <si>
    <t>ΔΗΜΟΣ ΙΑΣΜΟΥ ΡΟΔΟΠΗΣ</t>
  </si>
  <si>
    <t>ΑΠΑΤΣΙΔΗΣ ΚΩΝΣΤΑΝΤΊΝΟΣ</t>
  </si>
  <si>
    <t>ΑΙ631693</t>
  </si>
  <si>
    <t>ΑΠΑΤΣΙΔΟΥ ΕΛΕΝΗ</t>
  </si>
  <si>
    <t>Σ713148</t>
  </si>
  <si>
    <t>ΔΗΜΟΣ ΚΟΡΥΔΑΛΛΟΥ ΠΕΙΡΑΙΩΣ</t>
  </si>
  <si>
    <t>ΥΕ ΕΡΓΑΤΩΝ ΚΑΘΑΡΙΟΤΗΤΑΣ (ΕΡΓΑΤΩΝ &amp; ΣΥΝΟΔΩΝ)</t>
  </si>
  <si>
    <t>ΑΠΕΡΓΗ ΑΙΚΑΤΕΡΙΝΗ</t>
  </si>
  <si>
    <t>ΑΕ944183</t>
  </si>
  <si>
    <t>ΔΗΜΟΣ ΤΗΝΟΥ ΚΥΚΛΑΔΩΝ</t>
  </si>
  <si>
    <t>ΥΕ ΕΡΓΑΤΩΝ ΥΔΡΕΥΣΗΣ</t>
  </si>
  <si>
    <t>ΑΠΕΡΓΗ ΧΡΙΣΤΙΝΑ-ΑΝΝΕΖΑ</t>
  </si>
  <si>
    <t>ΑΒ047886</t>
  </si>
  <si>
    <t>ΑΠΟΓΑΚΗ ΕΙΡΗΝΗ</t>
  </si>
  <si>
    <t>ΑΕ034263</t>
  </si>
  <si>
    <t>ΑΠΟΣΕΡΚΟΓΛΟΥ ΠΑΝΑΓΙΩΤΑ</t>
  </si>
  <si>
    <t>Χ390224</t>
  </si>
  <si>
    <t>ΑΠΟΣΤΟΛΑΚΗ ΙΟΥΛΙΑ</t>
  </si>
  <si>
    <t>ΑΝ535367</t>
  </si>
  <si>
    <t>ΑΠΟΣΤΟΛΑΚΗΣ ΔΗΜΗΤΡΙΟΣ</t>
  </si>
  <si>
    <t>Ρ955369</t>
  </si>
  <si>
    <t>ΑΠΟΣΤΟΛΑΚΟΠΟΥΛΟΣ ΘΕΟΔΩΡΟΣ</t>
  </si>
  <si>
    <t>Χ426116</t>
  </si>
  <si>
    <t>ΥΕ ΕΠΙΣΤΑΤΩΝ ΚΑΘΑΡΙΟΤΗΤΑΣ</t>
  </si>
  <si>
    <t>ΑΠΟΣΤΟΛΕΛΗ ΛΑΜΠΡΙΝΗ</t>
  </si>
  <si>
    <t>Ρ381583</t>
  </si>
  <si>
    <t>ΔΗΜΟΣ ΣΙΦΝΟΥ ΚΥΚΛΑΔΩΝ</t>
  </si>
  <si>
    <t>ΑΠΟΣΤΟΛΙΔΟΥ ΓΕΩΡΓΙΑ</t>
  </si>
  <si>
    <t>ΜΑΤ</t>
  </si>
  <si>
    <t>ΑΕ914243</t>
  </si>
  <si>
    <t>ΑΠΟΣΤΟΛΙΔΟΥ ΜΑΡΙΑ</t>
  </si>
  <si>
    <t>ΑΗ592581</t>
  </si>
  <si>
    <t>ΔΗΜΟΣ ΜΕΤΑΜΟΡΦΩΣΕΩΣ ΒΟΡΕΙΟΥ ΤΟΜΕΑ ΑΘΗΝΩΝ</t>
  </si>
  <si>
    <t>ΑΠΟΣΤΟΛΙΔΟΥ ΣΙΜΕΛΑ</t>
  </si>
  <si>
    <t>Χ175628</t>
  </si>
  <si>
    <t>ΔΗΜΟΣ ΗΡΑΚΛΕΙΟΥ ΑΤΤΙΚΗΣ</t>
  </si>
  <si>
    <t>ΑΠΟΣΤΟΛΙΚΑ ΣΟΦΙΑ</t>
  </si>
  <si>
    <t>ΑΗ287233</t>
  </si>
  <si>
    <t>ΑΠΟΣΤΟΛΟΠΟΥΛΟΣ ΒΑΣΙΛΕΙΟΣ</t>
  </si>
  <si>
    <t>Λ945924</t>
  </si>
  <si>
    <t>ΑΠΟΣΤΟΛΟΠΟΥΛΟΥ ΓΕΩΡΓΙΑ</t>
  </si>
  <si>
    <t>ΑΗ230451</t>
  </si>
  <si>
    <t>ΑΠΟΣΤΟΛΟΠΟΥΛΟΥ ΕΛΕΝΗ</t>
  </si>
  <si>
    <t>Ρ779775</t>
  </si>
  <si>
    <t>ΑΠΟΣΤΟΛΟΣ ΦΡΑΤΖΑΝΑΣ</t>
  </si>
  <si>
    <t>ΑΕ692394</t>
  </si>
  <si>
    <t>ΑΠΟΣΤΟΛΟΥ ΕΥΑΓΓΕΛΙΑ</t>
  </si>
  <si>
    <t>Τ198676</t>
  </si>
  <si>
    <t>ΑΠΟΣΤΟΛΟΥ ΕΥΑΓΓΕΛΟΣ</t>
  </si>
  <si>
    <t>ΑΒ165400</t>
  </si>
  <si>
    <t>ΑΠΟΣΤΟΛΟΥ ΝΙΚΟΛΕΤΑ</t>
  </si>
  <si>
    <t>ΑΗ206419</t>
  </si>
  <si>
    <t>ΥΕ ΕΡΓΑΤΩΝ ΗΛΕΚΤΡΟΦΩΤΙΣΜΟΥ</t>
  </si>
  <si>
    <t xml:space="preserve">ΑΠΟΣΤΟΛΟΥ  ΠΑΝΑΓΙΩΤΗΣ </t>
  </si>
  <si>
    <t>ΑΜ824189</t>
  </si>
  <si>
    <t>ΑΠΟΤΑ ΜΥΡΣΙΝΗ</t>
  </si>
  <si>
    <t>ΑΒ503558</t>
  </si>
  <si>
    <t>ΑΡΑΒΑΝΗ ΣΠΥΡΙΔΟΥΛΑ</t>
  </si>
  <si>
    <t>ΑΜ833409</t>
  </si>
  <si>
    <t>ΑΡΑΒΟΠΟΥΛΟΥ ΕΛΕΝΗ</t>
  </si>
  <si>
    <t>Φ469028</t>
  </si>
  <si>
    <t>ΑΡΑΒΟΠΟΥΛΟΥ ΝΑΝΤΕΖΝΤΑ</t>
  </si>
  <si>
    <t>ΑΚ410193</t>
  </si>
  <si>
    <t>ΔΗΜΟΣ ΚΙΛΕΛΕΡ ΛΑΡΙΣΑΣ</t>
  </si>
  <si>
    <t>ΑΡΑΜΠΑΤΖΗ ΕΙΡΗΝΗ</t>
  </si>
  <si>
    <t>ΑΒ427439</t>
  </si>
  <si>
    <t>ΑΡΑΜΠΑΤΖΟΓΛΟΥ ΚΥΡΙΑΚΉ</t>
  </si>
  <si>
    <t>ΑΒ138189</t>
  </si>
  <si>
    <t>ΑΡΑΠΗ ΜΕΡΟΠΗ</t>
  </si>
  <si>
    <t>Φ332310</t>
  </si>
  <si>
    <t>ΔΗΜΟΣ ΤΡΙΚΚΑΙΩΝ ΤΡΙΚΑΛΩΝ</t>
  </si>
  <si>
    <t>ΑΡΑΠΗ ΦΛΩΡΑ</t>
  </si>
  <si>
    <t>ΤΣΑ</t>
  </si>
  <si>
    <t>ΑΙ926249</t>
  </si>
  <si>
    <t>ΑΡΑΠΙΤΣΑΣ ΙΩΑΝΝΗΣ</t>
  </si>
  <si>
    <t>ΑΗ382622</t>
  </si>
  <si>
    <t>ΔΗΜΟΣ ΝΕΣΤΟΥ</t>
  </si>
  <si>
    <t>ΑΡΑΤΖΙΑ ΓΕΩΡΓΙΑ</t>
  </si>
  <si>
    <t>ΑΚ322788</t>
  </si>
  <si>
    <t>ΑΡΒΑΝΙΤΗ ΕΛΕΝΗ</t>
  </si>
  <si>
    <t>ΑΒ423883</t>
  </si>
  <si>
    <t>ΔΗΜΟΣ ΑΓΙΑΣ ΛΑΡΙΣΑΣ</t>
  </si>
  <si>
    <t>ΑΡΒΑΝΙΤΙΔΗΣ ΑΡΙΣΤΕΙΔΗΣ</t>
  </si>
  <si>
    <t>ΓΕΡ</t>
  </si>
  <si>
    <t>ΑΒ754097</t>
  </si>
  <si>
    <t>ΑΡΓΙΤΗΣ ΓΕΩΡΓΙΟΣ</t>
  </si>
  <si>
    <t>ΑΚ610257</t>
  </si>
  <si>
    <t xml:space="preserve">ΑΡΓΙΤΗΣ ΚΩΝΣΤΑΝΤΙΝΟΣ </t>
  </si>
  <si>
    <t>ΑΜ310826</t>
  </si>
  <si>
    <t>ΔΗΜΟΣ ΕΡΥΜΑΝΘΟΥ</t>
  </si>
  <si>
    <t>ΑΡΓΥΡΗ ΣΩΚΡΑΤΙΑ</t>
  </si>
  <si>
    <t>ΑΚ816957</t>
  </si>
  <si>
    <t>ΑΡΓΥΡΙΟΥ ΑΝΑΣΤΑΣΙΑ</t>
  </si>
  <si>
    <t>ΑΑ429010</t>
  </si>
  <si>
    <t>ΑΡΓΥΡΙΟΥ ΙΩΑΝΝΑ</t>
  </si>
  <si>
    <t>Φ290070</t>
  </si>
  <si>
    <t>ΑΡΓΥΡΙΟΥ ΙΩΑΝΝΗΣ</t>
  </si>
  <si>
    <t>Χ598097</t>
  </si>
  <si>
    <t>ΑΡΓΥΡΙΟΥ ΠΑΣΧΑΛΙΑ</t>
  </si>
  <si>
    <t>ΑΖ858853</t>
  </si>
  <si>
    <t>ΑΡΓΥΡΙΟΥ ΧΡΙΣΤΟΔΟΥΛΟΥ ΙΩΑΝΝΗΣ</t>
  </si>
  <si>
    <t>ΑΚ870969</t>
  </si>
  <si>
    <t>ΑΡΓΥΡΟΠΟΥΛΟΣ ΙΩΑΝΝΗΣ</t>
  </si>
  <si>
    <t>ΑΒ311982</t>
  </si>
  <si>
    <t>ΑΡΓΥΡΟΠΟΥΛΟΣ ΧΡΗΣΤΟΣ</t>
  </si>
  <si>
    <t>Μ450283</t>
  </si>
  <si>
    <t>ΔΗΜΟΣ ΕΡΜΙΟΝΙΔΑΣ</t>
  </si>
  <si>
    <t>ΑΡΓΥΡΟΠΟΥΛΟΥ ΑΜΑΛΙΑ</t>
  </si>
  <si>
    <t>ΑΗ314196</t>
  </si>
  <si>
    <t>ΔΗΜΟΣ ΠΥΔΝΑΣ - ΚΟΛΙΝΔΡΟΥ</t>
  </si>
  <si>
    <t xml:space="preserve">ΑΡΓΥΡΟΠΟΥΛΟΥ  ΧΡΙΣΤΙΝΑ </t>
  </si>
  <si>
    <t>ΑΗ527471</t>
  </si>
  <si>
    <t>ΑΡΓΥΡΟΣ ΒΑΣΙΛΕΙΟΣ</t>
  </si>
  <si>
    <t>ΑΗ001259</t>
  </si>
  <si>
    <t>ΑΡΓΥΡΟΣ ΚΩΝΣΤΑΝΤΙΝΟΣ</t>
  </si>
  <si>
    <t>Μ596191</t>
  </si>
  <si>
    <t>ΑΡΔΑΛΗ ΑΝΝΑ</t>
  </si>
  <si>
    <t>ΑΒ902896</t>
  </si>
  <si>
    <t>ΑΡΔΟΥΝΗ ΓΕΩΡΓΙΑ</t>
  </si>
  <si>
    <t>ΑΒ316195</t>
  </si>
  <si>
    <t>ΑΡΖΙΑΝΙΔΗΣ ΒΑΧΝΤΑΓΚ</t>
  </si>
  <si>
    <t>ΡΟΜ</t>
  </si>
  <si>
    <t>ΑΖ917133</t>
  </si>
  <si>
    <t>ΥΕ ΕΡΓΑΤΩΝ ΓΕΝΙΚΑ - ΣΥΝΟΔΟΙ ΑΠΟΡΡΙΜΜΑΤΟΦΟΡΩΝ</t>
  </si>
  <si>
    <t>ΑΡΖΟΥΜΑΝΙΔΗΣ ΜΑΝΩΛΗΣ</t>
  </si>
  <si>
    <t>Χ738780</t>
  </si>
  <si>
    <t>ΑΡΖΟΥΜΑΝΙΔΟΥ ΧΡΙΣΤΙΝΑ</t>
  </si>
  <si>
    <t>Χ749253</t>
  </si>
  <si>
    <t>ΠΕΡΙΦΕΡΕΙΑΚΟΣ ΣΥΝΔΕΣΜΟΣ ΦΟΡΕΩΝ ΔΙΑΧΕΙΡΙΣΗΣ ΣΤΕΡΕΩΝ ΑΠΟΒΛΗΤΩΝ (ΦΟΔΣΑ) ΚΕΝΤΡΙΚΗΣ ΜΑΚΕΔΟΝΙΑΣ</t>
  </si>
  <si>
    <t>ΥΕ ΕΡΓΑΤΩΝ ΦΥΛΑΚΩΝ</t>
  </si>
  <si>
    <t>ΑΡΙΖΑΝΗΣ ΠΑΣΧΑΛΗΣ</t>
  </si>
  <si>
    <t>Τ225899</t>
  </si>
  <si>
    <t>ΑΡΙΣΤΟΠΟΥΛΟΣ ΑΝΑΣΤΑΣΙΟΣ</t>
  </si>
  <si>
    <t>ΑΜ068802</t>
  </si>
  <si>
    <t>ΔΗΜΟΣ ΑΓΡΙΝΙΟΥ ΑΙΤΩΛΟΑΚΑΡΝΑΝΙΑΣ</t>
  </si>
  <si>
    <t>ΑΡΙΣΤΟΠΟΥΛΟΣ ΧΡΗΣΤΟΣ</t>
  </si>
  <si>
    <t>Τ243471</t>
  </si>
  <si>
    <t>ΑΡΙΣΤΟΠΟΥΛΟΥ ΜΑΡΙΑ</t>
  </si>
  <si>
    <t>Φ431408</t>
  </si>
  <si>
    <t>ΑΡΙΣΤΟΠΟΥΛΟΥ ΝΙΚΟΛ</t>
  </si>
  <si>
    <t>ΑΒ387300</t>
  </si>
  <si>
    <t>ΑΡΜΑΚΟΛΑΣ ΝΙΚΟΛΑΟΣ</t>
  </si>
  <si>
    <t>Τ139019</t>
  </si>
  <si>
    <t>ΑΡΝΑΚΗΣ ΠΑΝΑΓΙΩΤΗΣ</t>
  </si>
  <si>
    <t>ΑΖ834580</t>
  </si>
  <si>
    <t>ΑΡΝΑΟΥΤΕΛΗ ΔΗΜΗΤΡΑ</t>
  </si>
  <si>
    <t>ΑΚ900473</t>
  </si>
  <si>
    <t>ΑΡΝΑΟΥΤΗΣ ΓΕΩΡΓΙΟΣ</t>
  </si>
  <si>
    <t>Σ139283</t>
  </si>
  <si>
    <t>ΑΡΝΑΟΥΤΙΔΟΥ ΜΟΝΙΚΑ</t>
  </si>
  <si>
    <t>Χ729543</t>
  </si>
  <si>
    <t>ΑΡΣΕΝΗ ΑΛΕΞΑΝΔΡΑ</t>
  </si>
  <si>
    <t>Π436862</t>
  </si>
  <si>
    <t>ΑΡΣΛΑΝΙΔΗ ΑΡΓΥΡΩ</t>
  </si>
  <si>
    <t>ΑΙ486121</t>
  </si>
  <si>
    <t>ΔΗΜΟΣ ΧΑΛΚΙΔΕΩΝ  ΕΥΒΟΙΑΣ</t>
  </si>
  <si>
    <t>ΑΡΧΑΒΛΑΚΗ ΚΑΛΛΙΟΠΗ</t>
  </si>
  <si>
    <t>ΑΒ482961</t>
  </si>
  <si>
    <t>ΑΡΧΟΛΕΚΑΣ ΠΑΝΑΓ</t>
  </si>
  <si>
    <t>ΑΕ443231</t>
  </si>
  <si>
    <t>ΑΡΧΟΝΤΑΚΗ ΑΓΓΕΛΙΚΗ</t>
  </si>
  <si>
    <t>ΑΒ682858</t>
  </si>
  <si>
    <t>ΑΡΩΝΗ ΚΑΛΛΙΟΠΗ</t>
  </si>
  <si>
    <t>Χ520565</t>
  </si>
  <si>
    <t>ΔΗΜΟΣ ΠΑΛΛΗΝΗΣ ΑΝΑΤΟΛΙΚΗΣ ΑΤΤΙΚΗΣ</t>
  </si>
  <si>
    <t>ΑΡΩΝΗ ΟΥΡΑΝΙΑ</t>
  </si>
  <si>
    <t>Σ143008</t>
  </si>
  <si>
    <t>ΑΡΩΝΙΑΔΑ ΧΡΙΣΤΙΝΑ</t>
  </si>
  <si>
    <t>ΑΜ574819</t>
  </si>
  <si>
    <t>ΑΡΩΝΙΑΔΑΣ ΠΑΝΑΓΙΩΤΗΣ</t>
  </si>
  <si>
    <t>Ξ610593</t>
  </si>
  <si>
    <t>ΔΗΜΟΣ ΚΑΡΠΕΝΗΣΙΟΥ ΕΥΡΥΤΑΝΙΑΣ</t>
  </si>
  <si>
    <t>ΑΣΗΜΑΚΟΠΟΥΛΟΣ ΓΕΩΡΓΙΟΣ</t>
  </si>
  <si>
    <t>ΑΒ314645</t>
  </si>
  <si>
    <t>ΑΣΗΜΑΚΟΠΟΥΛΟΥ ΜΑΡΙΑ</t>
  </si>
  <si>
    <t>ΑΜ677939</t>
  </si>
  <si>
    <t>ΑΣΗΜΑΚΟΠΟΥΛΟΥ ΝΙΚΟΛΙΤΣΑ</t>
  </si>
  <si>
    <t>ΠΕΤ</t>
  </si>
  <si>
    <t>ΑΝ051956</t>
  </si>
  <si>
    <t>ΑΣΗΜΟΜΥΤΗΣ ΝΙΚΟΛΑΟΣ</t>
  </si>
  <si>
    <t>Τ937802</t>
  </si>
  <si>
    <t>ΑΣΗΜΟΜΥΤΗΣ ΠΑΝΑΓΙΩΤΗΣ</t>
  </si>
  <si>
    <t>Χ569926</t>
  </si>
  <si>
    <t>ΑΣΛΑΝΙΔΗ ΒΕΡΟΝΙΚΗ</t>
  </si>
  <si>
    <t>ΑΒ160680</t>
  </si>
  <si>
    <t>ΑΣΛΑΝΙΔΗΣ ΑΛΕΞΙΟΣ</t>
  </si>
  <si>
    <t>ΚΥΡ</t>
  </si>
  <si>
    <t>ΑΕ838211</t>
  </si>
  <si>
    <t>ΑΣΛΑΝΙΔΗΣ ΗΛΙΑΣ</t>
  </si>
  <si>
    <t>ΑΜ295286</t>
  </si>
  <si>
    <t>ΑΣΛΑΝΙΔΗΣ ΝΙΚΟΛΑΟΣ</t>
  </si>
  <si>
    <t>ΑΙ330503</t>
  </si>
  <si>
    <t>ΑΣΛΑΝΙΔΗΣ ΣΑΒΒΑΣ</t>
  </si>
  <si>
    <t>Σ557067</t>
  </si>
  <si>
    <t>ΔΗΜΟΣ ΚΗΦΙΣΙΑΣ ΒΟΡΕΙΟΥ ΤΟΜΕΑ ΑΤΤΙΚΗΣ</t>
  </si>
  <si>
    <t>ΥΕ ΠΡΟΣΩΠΙΚΟ ΚΑΘΑΡΙΟΤΗΤΑΣ ΜΕ ΕΙΔΙΚΟΤΗΤΑ ΕΡΓΑΤΗ - ΦΥΛΑΚΑ - ΝΥΧΤΟΦΥΛΑΚΑ ΓΙΑ ΤΗΝ ΥΠΗΡΕΣΙΑ ΚΑΘΑΡΙΟΤΗΤΑΣ</t>
  </si>
  <si>
    <t>Ασλανίδης Ντιτμαρ- Φρίντριχ- Μενέλαος</t>
  </si>
  <si>
    <t>Καρ</t>
  </si>
  <si>
    <t>ΑΙ871545</t>
  </si>
  <si>
    <t>ΑΣΛΑΝΙΔΟΥ ΛΕΟΝΑ</t>
  </si>
  <si>
    <t>ΛΑΟ</t>
  </si>
  <si>
    <t>ΑΗ183402</t>
  </si>
  <si>
    <t>ΑΣΛΑΝΙΔΟΥ ΜΑΡΙΑ</t>
  </si>
  <si>
    <t>ΣΥΜ</t>
  </si>
  <si>
    <t>Τ929443</t>
  </si>
  <si>
    <t>ΑΣΛΑΝΟΓΛΟΥ ΙΩΑΝΝΗΣ</t>
  </si>
  <si>
    <t>Ρ861265</t>
  </si>
  <si>
    <t>ΑΣΜΑΝΗ ΙΩΑΝΝΑ ΧΑΡΙΚΛΕΙΑ</t>
  </si>
  <si>
    <t>ΑΒ267147</t>
  </si>
  <si>
    <t>ΑΣΠΙΩΤΗΣ ΣΠΥΡΙΔΩΝ</t>
  </si>
  <si>
    <t>ΔΑΜ</t>
  </si>
  <si>
    <t>Μ274196</t>
  </si>
  <si>
    <t>ΑΣΠΡΙΔΟΥ ΑΛΕΞΑΝΔΡΑ</t>
  </si>
  <si>
    <t>ΑΗ669588</t>
  </si>
  <si>
    <t>ΑΣΠΡΟΠΟΥΛΟΥ ΕΛΕΝΗ</t>
  </si>
  <si>
    <t>ΑΚ073131</t>
  </si>
  <si>
    <t>ΑΣΤΑΡΤΖΗ ΒΑΣΙΛΙΚΗ</t>
  </si>
  <si>
    <t>Ξ847561</t>
  </si>
  <si>
    <t>ΑΣΤΕΡΙΑΔΗΣ ΠΑΝΑΓΙΩΤΗΣ</t>
  </si>
  <si>
    <t>ΣΙΔ</t>
  </si>
  <si>
    <t>ΑΖ426455</t>
  </si>
  <si>
    <t>ΔΗΜΟΣ ΟΡΕΣΤΙΑΔΑΣ ΕΒΡΟΥ</t>
  </si>
  <si>
    <t>ΑΣΤΕΡΙΝΟΥ ΚΩΝΣΤΑΝΤΙΝΑ</t>
  </si>
  <si>
    <t>ΒΗΣ</t>
  </si>
  <si>
    <t>ΑΚ964893</t>
  </si>
  <si>
    <t>ΑΣΤΡΟΠΑΛΙΤΗΣ ΕΜΜΑΝΟΥΗΛ</t>
  </si>
  <si>
    <t>ΑΒ487090</t>
  </si>
  <si>
    <t>ΔΗΜΟΣ ΧΑΝΙΩΝ ΧΑΝΙΩΝ</t>
  </si>
  <si>
    <t>ΑΣΦΗ ΓΕΩΡΓΙΑ</t>
  </si>
  <si>
    <t>ΑΝ036306</t>
  </si>
  <si>
    <t>ΑΤΖΑΜΟΓΛΟΥ ΑΛΕΞΑΝΔΡΑ</t>
  </si>
  <si>
    <t>Χ040955</t>
  </si>
  <si>
    <t>ΑΤΜΑΤΣΙΔΗΣ ΜΙΧΑΗΣ</t>
  </si>
  <si>
    <t>Φ161393</t>
  </si>
  <si>
    <t>ΑΥΓΕΡΑΚΗ ΕΥΡΥΔΙΚΗ</t>
  </si>
  <si>
    <t>ΑΝ248445</t>
  </si>
  <si>
    <t>ΥΕ ΦΥΛΑΚΩΝ ΕΞΩΤΕΡΙΚΩΝ ΧΩΡΩΝ</t>
  </si>
  <si>
    <t>ΑΥΓΕΡΗ ΞΑΝΘΗ</t>
  </si>
  <si>
    <t>ΑΜ371045</t>
  </si>
  <si>
    <t>ΑΥΓΕΡΗΣ ΑΘΑΝΑΣΙΟΣ</t>
  </si>
  <si>
    <t>ΑΜ984403</t>
  </si>
  <si>
    <t>ΑΥΓΕΡΙΝΟΣ ΑΝΔΡΕΑΣ</t>
  </si>
  <si>
    <t>ΑΜ103171</t>
  </si>
  <si>
    <t>ΔΗΜΟΣ ΔΑΦΝΗΣ ΥΜΗΤΤΟΥ ΑΘΗΝΩΝ</t>
  </si>
  <si>
    <t>ΑΥΓΙΤΣΗ ΓΕΩΡΓΙΑ</t>
  </si>
  <si>
    <t>ΑΜ720203</t>
  </si>
  <si>
    <t>ΔΗΜΟΣ ΜΑΡΩΝΕΙΑΣ - ΣΑΠΩΝ</t>
  </si>
  <si>
    <t>ΑΥΓΟΥΣΤΑΚΗ ΤΣΑΜΠΙΚΑ</t>
  </si>
  <si>
    <t>ΑΝ445165</t>
  </si>
  <si>
    <t>ΑΥΦΑΝΤΗ ΕΛΕΝΗ</t>
  </si>
  <si>
    <t>ΑΒ107174</t>
  </si>
  <si>
    <t>ΑΥΦΑΝΤΗΣ ΣΤΥΛΙΑΝΟΣ</t>
  </si>
  <si>
    <t>ΑΒ107170</t>
  </si>
  <si>
    <t>ΑΦΕΝΤΑΚΗΣ ΙΩΑΝΝΗΣ</t>
  </si>
  <si>
    <t>ΑΒ662229</t>
  </si>
  <si>
    <t>ΑΦΕΝΤΟΥΛΗ ΣΤΑΥΡΟΥΛΑ</t>
  </si>
  <si>
    <t>ΑΙ897281</t>
  </si>
  <si>
    <t>ΔΗΜΟΣ ΑΡΡΙΑΝΩΝ ΡΟΔΟΠΗΣ</t>
  </si>
  <si>
    <t>ΑΧΙΛΛΕΟΠΟΥΛΟΥ ΠΗΝΕΛΟΠΗ</t>
  </si>
  <si>
    <t>ΑΜ511869</t>
  </si>
  <si>
    <t>ΑΨΑΘΑ ΖΩΗ</t>
  </si>
  <si>
    <t>ΑΒ648326</t>
  </si>
  <si>
    <t>ΒΑΒΑΔΑΚΗΣ ΝΙΚΟΛΑΟΣ</t>
  </si>
  <si>
    <t>ΑΙ959999</t>
  </si>
  <si>
    <t>ΒΑΒΟΥΛΕΑ ΓΕΩΡΓΙΑ</t>
  </si>
  <si>
    <t>ΑΜ335133</t>
  </si>
  <si>
    <t>ΔΗΜΟΣ ΠΥΛΟΥ ΝΕΣΤΟΡΟΣ  ΜΕΣΣΗΝΙΑΣ</t>
  </si>
  <si>
    <t>ΒΑΒΟΥΛΗ ΒΑΣΙΛΙΚΗ</t>
  </si>
  <si>
    <t>Ν499790</t>
  </si>
  <si>
    <t>ΔΗΜΟΣ ΑΝΑΤΟΛΙΚΗΣ ΜΑΝΗΣ ΛΑΚΩΝΙΑΣ</t>
  </si>
  <si>
    <t>ΒΑΒΟΥΛΙΔΗΣ ΚΩΝΣΤΑΝΤΙΝΟΣ</t>
  </si>
  <si>
    <t>Τ194039</t>
  </si>
  <si>
    <t>ΒΑΒΥΛΗ ΧΡΙΣΤΙΝΑ</t>
  </si>
  <si>
    <t>ΛΑΜ</t>
  </si>
  <si>
    <t>ΑΚ851591</t>
  </si>
  <si>
    <t>ΒΑΒΥΛΟΥΣΑΚΗΣ ΜΑΡΙΟΣ</t>
  </si>
  <si>
    <t>ΑΑ498569</t>
  </si>
  <si>
    <t>ΔΗΜΟΣ ΧΙΟΥ</t>
  </si>
  <si>
    <t>ΒΑΓΓΟΥ ΜΑΡΙΑ</t>
  </si>
  <si>
    <t>ΑΗ685610</t>
  </si>
  <si>
    <t>ΒΑΓΕΝΑΣ ΘΕΟΔΩΡΟΣ</t>
  </si>
  <si>
    <t>ΑΕ584924</t>
  </si>
  <si>
    <t>ΒΑΓΙΑ ΠΑΝΑΓΙΩΤΑ</t>
  </si>
  <si>
    <t>Σ093902</t>
  </si>
  <si>
    <t>ΒΑΓΙΩΝΑΚΗΣ ΜΙΧΑΗΛ</t>
  </si>
  <si>
    <t>Ν958460</t>
  </si>
  <si>
    <t>ΒΑΓΙΩΝΑΣ ΑΘΑΝΑΣΙΟΣ</t>
  </si>
  <si>
    <t>ΑΑ486906</t>
  </si>
  <si>
    <t>ΒΑΔΑΛΗΣ ΜΑΡΙΟΣ</t>
  </si>
  <si>
    <t>Σ913527</t>
  </si>
  <si>
    <t>ΔΗΜΟΣ ΚΙΜΩΛΟΥ</t>
  </si>
  <si>
    <t>ΒΑΖΑΙΟΣ ΓΕΩΡΓΙΟΣ</t>
  </si>
  <si>
    <t>ΑΖ573475</t>
  </si>
  <si>
    <t>ΒΑΖΑΙΟΣ ΕΥΑΓΓΕΛΟΣ</t>
  </si>
  <si>
    <t>ΑΕ610035</t>
  </si>
  <si>
    <t>ΒΑΖΑΚΑ ΜΑΡΙΑ</t>
  </si>
  <si>
    <t>ΑΗ297187</t>
  </si>
  <si>
    <t>ΒΑΙΓΚΟΥΣΗΣ ΑΝΤΩΝΙΟΣ</t>
  </si>
  <si>
    <t>Σ499200</t>
  </si>
  <si>
    <t>ΒΑΙΔΑΚΗ ΕΛΕΝΗ</t>
  </si>
  <si>
    <t>ΑΒ972119</t>
  </si>
  <si>
    <t>ΒΑΙΛΑΚΑΚΗ ΜΑΡΙΑ</t>
  </si>
  <si>
    <t>Χ110629</t>
  </si>
  <si>
    <t>ΒΑΙΟΥ ΕΥΓΕΝΙΑ</t>
  </si>
  <si>
    <t>ΑΙ462051</t>
  </si>
  <si>
    <t>ΒΑΙΟΥ ΠΑΡΑΣΚΕΥΗ</t>
  </si>
  <si>
    <t>ΑΝ851946</t>
  </si>
  <si>
    <t>ΒΑΙΟΥΛΗ ΑΣΠΑΣΙΑ</t>
  </si>
  <si>
    <t>Ρ899086</t>
  </si>
  <si>
    <t>ΒΑΙΡΑΜΙΔΟΥ ΕΛΕΝΗ</t>
  </si>
  <si>
    <t>ΑΗ818771</t>
  </si>
  <si>
    <t>ΒΑΚΑΛΗ ΠΑΝΑΓΙΩΤΑ</t>
  </si>
  <si>
    <t>ΑΗ715657</t>
  </si>
  <si>
    <t>ΒΑΚΟΥΦΤΣΗΣ ΕΥΡΥΠΙΔΗΣ</t>
  </si>
  <si>
    <t>ΒΑΙ</t>
  </si>
  <si>
    <t>Ρ889119</t>
  </si>
  <si>
    <t>ΒΑΛΑΒΑΝΗ ΚΑΛΛΙΟΠΗ</t>
  </si>
  <si>
    <t>Χ057564</t>
  </si>
  <si>
    <t>ΒΑΛΑΒΑΝΙΔΟΥ ΕΥΑΓΓΕΛΙΑ</t>
  </si>
  <si>
    <t>ΑΑ449408</t>
  </si>
  <si>
    <t>ΒΑΛΑΓΙΑΝΝΟΠΟΥΛΟΣ ΔΗΜΗΤΡΙΟΣ</t>
  </si>
  <si>
    <t>ΑΑ096280</t>
  </si>
  <si>
    <t>ΒΑΛΑΣΗΣ ΑΝΑΣΤΑΣΙΟΣ</t>
  </si>
  <si>
    <t>ΑΜ661487</t>
  </si>
  <si>
    <t>ΒΑΛΙΑΚΟΥ ΜΑΡΙΑ</t>
  </si>
  <si>
    <t>Ρ389765</t>
  </si>
  <si>
    <t>ΒΑΛΙΑΝΟΣ ΧΡΗΣΤΟΣ</t>
  </si>
  <si>
    <t>ΑΒ382978</t>
  </si>
  <si>
    <t>ΒΑΛΚΑΝΗ ΑΘΑΝΑΣΙΑ</t>
  </si>
  <si>
    <t>ΑΗ918638</t>
  </si>
  <si>
    <t>ΒΑΛΛΑΣ ΚΩΝΣΤΑΝΤΙΝΟΣ</t>
  </si>
  <si>
    <t>ΑΒ699379</t>
  </si>
  <si>
    <t>ΒΑΛΜΑ ΒΑΣΙΛΙΚΗ</t>
  </si>
  <si>
    <t>Π056587</t>
  </si>
  <si>
    <t>ΒΑΛΜΑ ΚΑΛΛΙΟΠΗ</t>
  </si>
  <si>
    <t>Ξ388224</t>
  </si>
  <si>
    <t>ΒΑΛΟΓΙΑΝΝΗΣ ΙΩΑΝΝΗΣ</t>
  </si>
  <si>
    <t>ΑΗ310160</t>
  </si>
  <si>
    <t>ΒΑΛΣΑΜΑΚΗ ΑΓΓΕΛΙΚΗ</t>
  </si>
  <si>
    <t>ΑΜ035959</t>
  </si>
  <si>
    <t>ΒΑΜΒΑΚΑ ΜΑΡΙΑ</t>
  </si>
  <si>
    <t>ΑΚ332457</t>
  </si>
  <si>
    <t>ΒΑΜΒΑΚΑ ΜΕΡΣΗΝΗ</t>
  </si>
  <si>
    <t>Σ717146</t>
  </si>
  <si>
    <t>ΒΑΜΒΑΚΑΡΗΣ ΕΜΜΑΝΟΥΗΛ</t>
  </si>
  <si>
    <t>Σ914857</t>
  </si>
  <si>
    <t>ΔΗΜΟΣ ΜΗΛΟΥ ΚΥΚΛΑΔΩΝ</t>
  </si>
  <si>
    <t>ΒΑΜΒΑΚΑΣ ΠΑΝΑΓΙΩΤΗΣ</t>
  </si>
  <si>
    <t>Ρ816632</t>
  </si>
  <si>
    <t>ΒΑΜΒΑΚΙΔΟΥ ΚΑΛΛΙΟΠΗ</t>
  </si>
  <si>
    <t>ΑΜ226127</t>
  </si>
  <si>
    <t>ΔΗΜΟΣ ΝΕΑΣ ΙΩΝΙΑΣ ΒΟΡΕΙΟΥ ΤΟΜΕΑ ΑΘΗΝΩΝ</t>
  </si>
  <si>
    <t>ΒΑΜΒΑΚΟΥΣΗ ΜΑΡΓΑΡΙΤΑ</t>
  </si>
  <si>
    <t>ΑΑ422329</t>
  </si>
  <si>
    <t>ΒΑΜΒΑΚΟΥΣΗΣ ΝΙΚΟΛΑΟΣ</t>
  </si>
  <si>
    <t>ΑΚ768521</t>
  </si>
  <si>
    <t>ΔΗΜΟΣ ΜΑΡΑΘΩΝΟΣ ΑΝΑΤΟΛΙΚΗΣ ΑΤΤΙΚΗΣ</t>
  </si>
  <si>
    <t>ΥΕ ΕΡΓΑΤΩΝ ΚΑΘΑΡΙΟΤΗΤΑΣ - ΣΥΝΟΔΩΝ ΑΠΟΡΡΙΜΜΑΤΟΦΟΡΟΥ</t>
  </si>
  <si>
    <t>ΒΑΞΕΒΑΝΗ ΜΑΡΙΑ</t>
  </si>
  <si>
    <t>Χ082904</t>
  </si>
  <si>
    <t>ΒΑΡΒΑΛΙΟΣ ΕΛΕΥΘΕΡΙΟΣ</t>
  </si>
  <si>
    <t>ΑΝ194990</t>
  </si>
  <si>
    <t>ΒΑΡΒΑΡΗΓΟΥ ΜΕΡΟΠΗ</t>
  </si>
  <si>
    <t>ΑΑ492910</t>
  </si>
  <si>
    <t>ΒΑΡΒΕΡΗ ΑΙΚΑΤΕΡΙΝΗ</t>
  </si>
  <si>
    <t>ΑΒ531705</t>
  </si>
  <si>
    <t>ΒΑΡΓΙΑΜΗ ΧΡΥΣΟΥΛΑ ΚΑΤΕΡΙΝΑ</t>
  </si>
  <si>
    <t>ΑΜ385579</t>
  </si>
  <si>
    <t>ΒΑΡΔΑ ΓΑΛΑΤΕΙΑ</t>
  </si>
  <si>
    <t>ΑΑ371124</t>
  </si>
  <si>
    <t>ΒΑΡΔΑΚΑΣΤΑΝΗΣ Διονύσης</t>
  </si>
  <si>
    <t>ΑΖ261644</t>
  </si>
  <si>
    <t>ΣΥΝΔΕΣΜΟΣ ΔΙΑΧΕΙΡΙΣΗΣ ΣΤΕΡΕΩΝ ΑΠΟΒΛΗΤΩΝ ΔΗΜΩΝ ΝΟΜΟΥ ΖΑΚΥΝΘΟΥ</t>
  </si>
  <si>
    <t>ΒΑΡΔΑΚΗ ΧΡΥΣΟΒΑΛΛΑΝΤΗ ΕΙΡΗΝΗ</t>
  </si>
  <si>
    <t>ΑΗ457507</t>
  </si>
  <si>
    <t>ΒΑΡΔΑΚΗΣ ΙΩΑΝΝΗΣ</t>
  </si>
  <si>
    <t>ΑΗ466150</t>
  </si>
  <si>
    <t>ΒΑΡΔΑΣ ΜΙΧΑΗΛ</t>
  </si>
  <si>
    <t>Χ916172</t>
  </si>
  <si>
    <t>ΔΗΜΟΣ ΙΕΡΑΠΕΤΡΑΣ ΛΑΣΙΘΙΟΥ</t>
  </si>
  <si>
    <t>ΒΑΡΕΛΗ ΕΙΡΗΝΗ</t>
  </si>
  <si>
    <t>ΟΝΟ</t>
  </si>
  <si>
    <t>ΑΕ297022</t>
  </si>
  <si>
    <t>ΒΑΡΕΛΗΣ ΓΕΩΡΓΙΟΣ</t>
  </si>
  <si>
    <t>Ρ860120</t>
  </si>
  <si>
    <t>ΒΑΡΕΛΗΣ ΔΗΜΟΣΘΕΝΗΣ</t>
  </si>
  <si>
    <t>ΑΜ581894</t>
  </si>
  <si>
    <t>ΒΑΡΕΤΑΙΟΣ ΙΩΑΝΝΗΣ</t>
  </si>
  <si>
    <t>ΑΗ780490</t>
  </si>
  <si>
    <t>ΒΑΡΖΑΚΑΚΟΣ ΑΛΕΞΑΝΔΡΟΣ</t>
  </si>
  <si>
    <t>ΑΚ140604</t>
  </si>
  <si>
    <t>ΒΑΡΘΑΛΗ ΧΡΙΣΤΙΝΑ</t>
  </si>
  <si>
    <t>ΑΒ258451</t>
  </si>
  <si>
    <t>ΒΑΡΘΗ ΣΠΥΡΙΔΟΥΛΑ-ΑΙΚΑΤΕΡΙΝΗ</t>
  </si>
  <si>
    <t>Ρ355660</t>
  </si>
  <si>
    <t>ΒΑΡΙΚΟΣ ΕΜΜΑΝΟΥΗΛ</t>
  </si>
  <si>
    <t>ΑΚ221779</t>
  </si>
  <si>
    <t>ΔΗΜΟΣ ΛΥΚΟΒΡΥΣΗΣ ΠΕΥΚΗΣ ΒΟΡΕΙΟΥ ΤΟΜΕΑ ΑΘΗΝΩΝ</t>
  </si>
  <si>
    <t>ΒΑΡΝΑ ΣΤΥΛΙΑΝΗ</t>
  </si>
  <si>
    <t>ΑΖ663861</t>
  </si>
  <si>
    <t>ΒΑΡΟΥΞΗΣ ΝΙΚΟΛΑΟΣ</t>
  </si>
  <si>
    <t>ΑΙ043474</t>
  </si>
  <si>
    <t>ΒΑΡΣΑΜΗ ΕΙΡΗΝΗ</t>
  </si>
  <si>
    <t>ΑΗ265900</t>
  </si>
  <si>
    <t>ΒΑΡΣΑΜΟΣ ΔΗΜΗΤΡΙΟΣ</t>
  </si>
  <si>
    <t>Μ584755</t>
  </si>
  <si>
    <t>ΔΗΜΟΣ ΣΚΥΡΟΥ ΕΥΒΟΙΑΣ</t>
  </si>
  <si>
    <t>ΒΑΣΔΕΚΗ ΑΠΟΣΤΟΛΙΑ</t>
  </si>
  <si>
    <t>ΑΚ364315</t>
  </si>
  <si>
    <t>ΒΑΣΙΛΑΚΗ ΑΙΚΑΤΕΡΙΝΗ</t>
  </si>
  <si>
    <t>Σ208637</t>
  </si>
  <si>
    <t>ΒΑΣΙΛΑΚΗ ΚΑΛΛΙΡΡΟΗ</t>
  </si>
  <si>
    <t>ΝΕΣ</t>
  </si>
  <si>
    <t>Χ687637</t>
  </si>
  <si>
    <t>ΒΑΣΙΛΑΚΗ ΜΑΡΙΑ ΕΛΕΝΗ</t>
  </si>
  <si>
    <t>Χ578083</t>
  </si>
  <si>
    <t>ΥΕ ΕΡΓΑΤΩΝ ΚΑΘΑΡΙΣΤΩΝ ΕΞΩΤΕΡΙΚΩΝ ΧΩΡΩΝ (ΟΔΟΚΑΘΑΡΙΣΤΩΝ)</t>
  </si>
  <si>
    <t>ΒΑΣΙΛΑΚΗΣ ΑΛΕΞΑΝΔΡΟΣ</t>
  </si>
  <si>
    <t>Σ299394</t>
  </si>
  <si>
    <t>ΒΑΣΙΛΑΚΗΣ ΑΝΤΩΝΙΟΣ</t>
  </si>
  <si>
    <t>ΑΕ965900</t>
  </si>
  <si>
    <t>ΒΑΣΙΛΑΚΗΣ ΜΙΧΑΗΛ</t>
  </si>
  <si>
    <t>ΑΜ148290</t>
  </si>
  <si>
    <t>ΒΑΣΙΛΑΚΗΣ ΝΙΚΟΛΑΟΣ</t>
  </si>
  <si>
    <t>Χ884066</t>
  </si>
  <si>
    <t>ΒΑΣΙΛΑΚΗΣ ΣΤΑΥΡΟΣ</t>
  </si>
  <si>
    <t>Φ260260</t>
  </si>
  <si>
    <t>ΔΗΜΟΣ ΙΩΑΝΝΙΤΩΝ  ΙΩΑΝΝΙΝΩΝ</t>
  </si>
  <si>
    <t>ΒΑΣΙΛΑΚΟΠΟΥΛΟΥ ΑΝΑΣΤΑΣΙΑ</t>
  </si>
  <si>
    <t>ΑΕ597297</t>
  </si>
  <si>
    <t>ΒΑΣΙΛΑΚΟΠΟΥΛΟΥ ΣΠΥΡΙΔΟΥΛΑ ΓΙΑΝΝΑ</t>
  </si>
  <si>
    <t>Σ376479</t>
  </si>
  <si>
    <t>ΔΗΜΟΣ ΑΙΓΙΑΛΕΙΑΣ ΑΧΑΪΑΣ</t>
  </si>
  <si>
    <t>ΒΑΣΙΛΑΚΟΣ ΑΝΑΣΤΑΣΙΟΣ</t>
  </si>
  <si>
    <t>Σ755439</t>
  </si>
  <si>
    <t>ΒΑΣΙΛΑΣ ΗΛΙΑΣ</t>
  </si>
  <si>
    <t>ΑΙ621706</t>
  </si>
  <si>
    <t>ΔΗΜΟΣ ΑΡΤΑΙΩΝ ΑΡΤΗΣ</t>
  </si>
  <si>
    <t>ΒΑΣΙΛΕΙΑΔΗΣ ΒΙΚΤΩΡ</t>
  </si>
  <si>
    <t>ΑΗ894209</t>
  </si>
  <si>
    <t>ΒΑΣΙΛΕΙΑΔΗΣ ΓΕΩΡΓΙΟΣ</t>
  </si>
  <si>
    <t>Ξ491204</t>
  </si>
  <si>
    <t>ΒΑΣΙΛΕΙΑΔΗΣ ΠΑΝΑΓΙΩΤΗΣ</t>
  </si>
  <si>
    <t>ΑΗ296358</t>
  </si>
  <si>
    <t>ΒΑΣΙΛΕΙΑΔΗΣ ΧΡΥΣΑΝΘΟΣ</t>
  </si>
  <si>
    <t>Χ249294</t>
  </si>
  <si>
    <t>ΒΑΣΙΛΕΙΑΔΟΥ ΑΙΚΑΤΕΡΙΝΗ</t>
  </si>
  <si>
    <t>ΑΙ360391</t>
  </si>
  <si>
    <t>ΒΑΣΙΛΕΙΑΔΟΥ ΑΡΓΥΡΩ</t>
  </si>
  <si>
    <t>Σ916925</t>
  </si>
  <si>
    <t>ΒΑΣΙΛΕΙΑΔΟΥ ΒΑΣΙΛΙΚΗ</t>
  </si>
  <si>
    <t>Ρ159792</t>
  </si>
  <si>
    <t>ΒΑΣΙΛΕΙΑΔΟΥ ΜΑΡΙΑ</t>
  </si>
  <si>
    <t>ΑΝ357364</t>
  </si>
  <si>
    <t>Χ964034</t>
  </si>
  <si>
    <t>ΒΑΣΙΛΕΙΑΔΟΥ ΣΟΦΙΑ</t>
  </si>
  <si>
    <t>ΑΚ423451</t>
  </si>
  <si>
    <t>ΒΑΣΙΛΕΙΔΗ ΑΛΕΞΑΝΔΡΑ</t>
  </si>
  <si>
    <t>Χ225601</t>
  </si>
  <si>
    <t>ΒΑΣΙΛΕΙΟΥ ΑΘΑΝΑΣΙΟΣ</t>
  </si>
  <si>
    <t>ΑΗ657672</t>
  </si>
  <si>
    <t>ΒΑΣΙΛΕΙΟΥ ΑΛΕΞΑΝΔΡΑ</t>
  </si>
  <si>
    <t>Χ519337</t>
  </si>
  <si>
    <t>ΒΑΣΙΛΕΙΟΥ ΓΙΑΝΝΟΥΛΑ</t>
  </si>
  <si>
    <t>ΑΜ825667</t>
  </si>
  <si>
    <t>ΒΑΣΙΛΕΙΟΥ ΔΙΑΜΑΝΤΗΣ</t>
  </si>
  <si>
    <t>ΑΜ317602</t>
  </si>
  <si>
    <t>ΒΑΣΙΛΕΙΟΥ ΙΩΑΝΝΑ</t>
  </si>
  <si>
    <t>ΑΗ454765</t>
  </si>
  <si>
    <t>ΒΑΣΙΛΕΙΟΥ ΜΑΡΙΝΑ</t>
  </si>
  <si>
    <t>Χ045750</t>
  </si>
  <si>
    <t>ΒΑΣΙΛΕΙΟΥ ΜΠΑΜΠΗΣ</t>
  </si>
  <si>
    <t>Τ988086</t>
  </si>
  <si>
    <t>ΒΑΣΙΛΕΙΟΥ ΠΑΝΑΓΙΩΤΗΣ</t>
  </si>
  <si>
    <t>Ρ375217</t>
  </si>
  <si>
    <t>ΔΗΜΟΣ ΜΕΓΑΡΕΩΝ ΔΥΤΙΚΗΣ ΑΤΤΙΚΗΣ</t>
  </si>
  <si>
    <t>ΒΑΣΙΛΕΙΟΥ ΣΟΦΙΑ</t>
  </si>
  <si>
    <t>Ξ236924</t>
  </si>
  <si>
    <t>ΒΑΣΙΛΕΙΟΥ ΣΠΥΡΟΣ</t>
  </si>
  <si>
    <t>Π503609</t>
  </si>
  <si>
    <t>ΒΑΣΙΛΕΙΟΥ ΣΤΑΥΡΟΥΛΑ</t>
  </si>
  <si>
    <t>ΑΚ157461</t>
  </si>
  <si>
    <t>ΒΑΣΙΛΕΙΟΥ ΣΤΥΛΙΑΝΟΣ</t>
  </si>
  <si>
    <t>ΑΑ435736</t>
  </si>
  <si>
    <t>ΥΕ ΕΡΓΑΤΩΝ ΥΔΡΕΥΣΗΣ - ΑΡΔΕΥΣΗΣ -  ΑΠΟΧΕΤΕΥΣΗΣ</t>
  </si>
  <si>
    <t>ΒΑΣΙΛΙΚΗ ΠΑΠΑΝΙΚΟΥ</t>
  </si>
  <si>
    <t>ΑΜ742064</t>
  </si>
  <si>
    <t>ΔΗΜΟΤΙΚΗ ΕΠΙΧΕΙΡΗΣΗ ΥΔΡΕΥΣΗΣ - ΑΠΟΧΕΤΕΥΣΗΣ ΛΟΥΤΡΑΚΙΟΥ - ΑΓΙΩΝ ΘΕΟΔΩΡΩΝ (Δ.Ε.Υ.Α.Λ.-ΑΓ.Θ.)</t>
  </si>
  <si>
    <t>ΒΑΣΙΛΙΚΟΣ ΠΑΝΤΕΛΗΣ</t>
  </si>
  <si>
    <t>ΑΕ434007</t>
  </si>
  <si>
    <t>ΔΗΜΟΣ ΨΑΡΩΝ ΧΙΟΥ</t>
  </si>
  <si>
    <t>ΒΑΣΙΛΟΠΟΥΛΟΣ ΓΕΩΡΓΙΟΣ</t>
  </si>
  <si>
    <t>ΑΖ081027</t>
  </si>
  <si>
    <t>ΒΑΣΙΛΟΠΟΥΛΟΣ ΧΡΥΣΟΒΑΛΑΝΤΗΣ</t>
  </si>
  <si>
    <t>Χ277868</t>
  </si>
  <si>
    <t>ΔΗΜΟΣ ΝΑΥΠΑΚΤΙΑΣ</t>
  </si>
  <si>
    <t>ΒΑΣΙΛΟΠΟΥΛΟΥ ΑΓΓΕΛΙΚΗ</t>
  </si>
  <si>
    <t>ΑΒ210651</t>
  </si>
  <si>
    <t>ΔΗΜΟΣ ΙΛΙΟΥ ΔΥΤΙΚΟΥ ΤΟΜΕΑ ΑΘΗΝΩΝ</t>
  </si>
  <si>
    <t>ΒΑΣΙΛΟΠΟΥΛΟΥ ΓΕΩΡΓΙΑ</t>
  </si>
  <si>
    <t>Ρ118037</t>
  </si>
  <si>
    <t>ΒΑΣΙΛΟΣ ΕΥΓΕΝΙΟΣ</t>
  </si>
  <si>
    <t>ΑΒ269089</t>
  </si>
  <si>
    <t>ΒΑΣΣΑΛΟΣ ΓΕΩΡΓΙΟΣ</t>
  </si>
  <si>
    <t>ΗΡΑ</t>
  </si>
  <si>
    <t>ΑΗ467515</t>
  </si>
  <si>
    <t>ΔΗΜΟΣ ΜΥΛΟΠΟΤΑΜΟΥ</t>
  </si>
  <si>
    <t>ΒΑΣΣΗ ΧΡΙΣΤΙΝΑ</t>
  </si>
  <si>
    <t>Σ296595</t>
  </si>
  <si>
    <t>ΒΑΣΣΙΟΥΛΑ ΧΡΙΣΤΟΦΟΡΙΑ</t>
  </si>
  <si>
    <t>ΑΖ744353</t>
  </si>
  <si>
    <t>ΔΗΜΟΣ ΠΡΕΒΕΖΑΣ</t>
  </si>
  <si>
    <t>ΥΕ ΕΡΓΑΤΩΝ (ΟΔΟΚΑΘΑΡΙΣΤΩΝ)</t>
  </si>
  <si>
    <t>ΒΑΣΣΟΥ ΕΛΕΝΗ</t>
  </si>
  <si>
    <t>ΑΜ326735</t>
  </si>
  <si>
    <t>ΒΑΤΙΚΙΩΤΗΣ ΠΑΥΛΟΣ</t>
  </si>
  <si>
    <t>ΑΕ071574</t>
  </si>
  <si>
    <t>ΔΗΜΟΣ ΑΙΓΙΝΑΣ</t>
  </si>
  <si>
    <t xml:space="preserve">ΒΑΤΜΑΝΙΔΗΣ ΠΑΝΑΓΙΩΤΗΣ </t>
  </si>
  <si>
    <t>ΑΖ353320</t>
  </si>
  <si>
    <t>ΒΑΤΣΑΡΕΑ ΝΙΚΗ</t>
  </si>
  <si>
    <t>ΧΡΥ</t>
  </si>
  <si>
    <t>ΑΜ384705</t>
  </si>
  <si>
    <t>ΒΑΤΣΙΟΥ ΜΑΡΙΑΝΘΗ</t>
  </si>
  <si>
    <t>ΑΗ279780</t>
  </si>
  <si>
    <t>ΒΑΦΕΙΑΔΗΣ ΜΙΧΑΗΛ</t>
  </si>
  <si>
    <t>ΑΜ397436</t>
  </si>
  <si>
    <t>ΒΑΦΕΙΑΔΟΥ ΑΓΓΕΛΙΚΗ</t>
  </si>
  <si>
    <t>ΑΑ124484</t>
  </si>
  <si>
    <t>ΒΑΦΕΙΔΟΥ ΜΑΡΙΑ</t>
  </si>
  <si>
    <t>Σ947426</t>
  </si>
  <si>
    <t>ΒΑΧΤΣΕΒΑΝΟΥ ΘΕΑΝΩ</t>
  </si>
  <si>
    <t>ΑΖ174401</t>
  </si>
  <si>
    <t>ΒΕΖΥΡΙΔΗΣ ΕΛΕΥΘΕΡΙΟΣ</t>
  </si>
  <si>
    <t>Τ443547</t>
  </si>
  <si>
    <t>ΔΗΜΟΣ ΠΕΛΛΑΣ ΠΕΛΛΑΣ</t>
  </si>
  <si>
    <t>ΒΕΖΥΡΟΠΟΥΛΟΣ ΙΩΑΝΝΗΣ</t>
  </si>
  <si>
    <t>ΑΖ953544</t>
  </si>
  <si>
    <t>ΒΕΙΖ ΦΙΚΡΕΤ</t>
  </si>
  <si>
    <t>ΜΕΜ</t>
  </si>
  <si>
    <t>ΑΑ468104</t>
  </si>
  <si>
    <t>ΒΕΚΡΗ ΜΑΡΙΑ</t>
  </si>
  <si>
    <t>ΑΒ213538</t>
  </si>
  <si>
    <t>ΒΕΛΑΕΤΗ ΚΑΙΤΗ</t>
  </si>
  <si>
    <t>Μ551179</t>
  </si>
  <si>
    <t>ΒΕΛΕΓΡΑΚΗΣ ΚΩΝΣΤΑΝΤΙΝΟΣ</t>
  </si>
  <si>
    <t>Χ 348909</t>
  </si>
  <si>
    <t>ΒΕΛΕΝΤΖΑΣ ΠΕΡΙΚΛΗΣ</t>
  </si>
  <si>
    <t>ΑΕ322235</t>
  </si>
  <si>
    <t>ΔΗΜΟΣ ΖΑΓΟΡΑΣ - ΜΟΥΡΕΣΙΟΥ ΜΑΓΝΗΣΙΑΣ</t>
  </si>
  <si>
    <t>ΥΕ ΠΡΟΣΩΠΙΚΟ ΚΑΘΑΡΙΟΤΗΤΑΣ (ΕΡΓΑΤΕΣ ΚΑΘΑΡΙΟΤΗΤΑΣ, ΣΥΝΟΔΟΙ ΑΠΟΡΡΙΜΜΑΤΟΦΟΡΩΝ)</t>
  </si>
  <si>
    <t>ΒΕΛΗ ΒΑΣΙΛΙΚΗ</t>
  </si>
  <si>
    <t>Χ030473</t>
  </si>
  <si>
    <t>ΒΕΛΗ ΙΩΑΝΝΑ</t>
  </si>
  <si>
    <t>ΑΜ527602</t>
  </si>
  <si>
    <t>ΒΕΛΗΟΓΛΟΥ ΡΕΤΖΕΠ</t>
  </si>
  <si>
    <t>ΓΙΑ</t>
  </si>
  <si>
    <t>ΑΒ195950</t>
  </si>
  <si>
    <t>ΒΕΛΗΣ ΙΩΑΝΝΗΣ</t>
  </si>
  <si>
    <t>ΑΜ946047</t>
  </si>
  <si>
    <t>ΒΕΛΙΓΡΑΝΤΗΣ ιωαννης</t>
  </si>
  <si>
    <t>ΑΙ443873</t>
  </si>
  <si>
    <t>ΒΕΛΛΑΣ ΣΑΒΒΑΣ</t>
  </si>
  <si>
    <t>ΑΙ541706</t>
  </si>
  <si>
    <t>ΒΕΛΛΗ ΑΙΚΑΤΕΡΙΝΗ</t>
  </si>
  <si>
    <t>ΑΖ812692</t>
  </si>
  <si>
    <t>ΒΕΛΟΥΔΟΥ ΣΠΥΡΙΔΟΥΛΑ</t>
  </si>
  <si>
    <t>ΑΗ749389</t>
  </si>
  <si>
    <t>ΥΕ ΕΡΓΑΤΩΝ ΣΥΝΟΔΩΝ ΑΠΟΡΡΙΜΜΑΤΟΦΟΡΩΝ</t>
  </si>
  <si>
    <t>ΒΕΝΑΚΗ ΠΑΝΑΓΙΩΤΑ</t>
  </si>
  <si>
    <t>ΑΝ473842</t>
  </si>
  <si>
    <t>ΒΕΝΕΤΗ ΑΝΑΣΤΑΣΙΑ</t>
  </si>
  <si>
    <t>ΑΚ009777</t>
  </si>
  <si>
    <t>ΒΕΝΕΤΗ ΑΝΤΩΝΙΑ</t>
  </si>
  <si>
    <t>ΑΖ750308</t>
  </si>
  <si>
    <t>ΒΕΝΕΤΗ ΑΡΕΤΗ</t>
  </si>
  <si>
    <t>Σ400912</t>
  </si>
  <si>
    <t>ΒΕΝΕΤΙΚΙΔΗΣ ΣΤΑΥΡΟΣ</t>
  </si>
  <si>
    <t>ΑΗ087805</t>
  </si>
  <si>
    <t>ΒΕΝΕΤΣΑΝΑΚΗ ΑΝΝΑ</t>
  </si>
  <si>
    <t>Σ594552</t>
  </si>
  <si>
    <t>ΒΕΝΙΟΣ ΑΝΤΩΝΙΟΣ</t>
  </si>
  <si>
    <t>ΑΒ228067</t>
  </si>
  <si>
    <t>ΒΕΡΓΕΡΑΚΗ ΕΥΤΥΧΙΑ</t>
  </si>
  <si>
    <t>ΑΕ472651</t>
  </si>
  <si>
    <t>Βεργιώτη Μαρία</t>
  </si>
  <si>
    <t>Φ477820</t>
  </si>
  <si>
    <t>ΒΕΡΓΟΥ ΑΙΚΑΤΕΡΙΝΗ</t>
  </si>
  <si>
    <t>ΑΙ032403</t>
  </si>
  <si>
    <t>ΒΕΡΙΓΟΣ ΣΤΕΦΑΝΟΣ</t>
  </si>
  <si>
    <t>Ρ904353</t>
  </si>
  <si>
    <t>ΒΕΡΟΠΟΥΛΙΔΟΥ ΚΥΡΙΑΚΟΥΛΑ</t>
  </si>
  <si>
    <t>ΑΑ262560</t>
  </si>
  <si>
    <t>ΔΗΜΟΣ ΘΕΡΜΑΪΚΟΥ ΘΕΣΣΑΛΟΝΙΚΗΣ</t>
  </si>
  <si>
    <t>ΒΕΡΟΠΟΥΛΟΥ ΜΑΡΙΑ</t>
  </si>
  <si>
    <t>ΑΒ064464</t>
  </si>
  <si>
    <t>ΒΕΡΥΚΟΚΚΟΥ ΝΙΚΟΛΕΤΑ</t>
  </si>
  <si>
    <t>ΑΒ243156</t>
  </si>
  <si>
    <t>ΒΕΡΩΝΗΣ ΚΩΝΣΤΑΝΤΙΝΟΣ</t>
  </si>
  <si>
    <t>ΠΕΡ</t>
  </si>
  <si>
    <t>ΑΒ553246</t>
  </si>
  <si>
    <t>ΒΕΣΚΟΥΚΗΣ ΓΕΩΡΓΙΟΣ</t>
  </si>
  <si>
    <t>ΑΒ006438</t>
  </si>
  <si>
    <t>ΒΙΔΑΛΗΣ ΝΙΚΟΛΑΟΣ</t>
  </si>
  <si>
    <t>ΑΕ061182</t>
  </si>
  <si>
    <t>ΒΙΚΙΑ ΑΙΚΑΤΕΡΙΝΗ- ΜΑΡΓΑΡΙΤΑ</t>
  </si>
  <si>
    <t>ΑΜ711481</t>
  </si>
  <si>
    <t>ΒΙΚΙΑ ΠΟΛΥΞΕΝΗ</t>
  </si>
  <si>
    <t>ΑΖ698726</t>
  </si>
  <si>
    <t>ΒΙΟΛΙΝΤΖΗΣ ΣΤΕΦΑΝΟΣ</t>
  </si>
  <si>
    <t>ΑΑ317183</t>
  </si>
  <si>
    <t>ΒΙΤΖΗΛΑΙΟΣ ΕΜΜΑΝΟΥΗΛ</t>
  </si>
  <si>
    <t>Ν595793</t>
  </si>
  <si>
    <t>ΒΙΤΖΗΛΑΙΟΥ ΣΤΑΜΑΤΙΑ</t>
  </si>
  <si>
    <t>ΑΕ576242</t>
  </si>
  <si>
    <t>ΒΙΤΣΕΝΤΖΟΥ ΒΑΣΙΛΙΚΗ</t>
  </si>
  <si>
    <t>Λ319393</t>
  </si>
  <si>
    <t>ΔΗΜΟΣ ΦΥΛΗΣ ΔΥΤΙΚΗΣ ΑΤΤΙΚΗΣ</t>
  </si>
  <si>
    <t>ΒΛΑΜΗ ΧΡΙΣΤΙΝΑ</t>
  </si>
  <si>
    <t>ΑΚ458994</t>
  </si>
  <si>
    <t>ΒΛΑΣΑΚΗΣ ΣΤΥΛΙΑΝΟΣ</t>
  </si>
  <si>
    <t>ΑΗ019039</t>
  </si>
  <si>
    <t>ΒΛΑΣΕΡΟΥ ΜΑΡΙΝΑ</t>
  </si>
  <si>
    <t>Ν311556</t>
  </si>
  <si>
    <t>ΒΛΑΣΣΗΣ ΑΝΔΡΕΑΣ</t>
  </si>
  <si>
    <t>Φ270935</t>
  </si>
  <si>
    <t>ΒΛΑΣΣΗΣ ΑΝΤΩΝΙΟΣ</t>
  </si>
  <si>
    <t>Π911762</t>
  </si>
  <si>
    <t>ΒΛΑΣΣΗΣ ΔΗΜΗΤΡΙΟΣ</t>
  </si>
  <si>
    <t>Ν800358</t>
  </si>
  <si>
    <t>ΒΛΑΣΣΗΣ ΧΑΡΙΛΑΟΣ</t>
  </si>
  <si>
    <t>Λ526806</t>
  </si>
  <si>
    <t>ΒΛΑΣΣΟΠΟΥΛΟΥ ΒΑΣΙΛΙΚΗ</t>
  </si>
  <si>
    <t>ΑΜ184855</t>
  </si>
  <si>
    <t>ΒΛΑΧΑΒΑ ΜΑΡΙΑΝΘΗ</t>
  </si>
  <si>
    <t>ΑΗ962334</t>
  </si>
  <si>
    <t>ΒΛΑΧΑΒΑΣ ΚΩΝΣΤΑΝΤΙΝΟΣ</t>
  </si>
  <si>
    <t>ΑΕ177876</t>
  </si>
  <si>
    <t xml:space="preserve">ΒΛΑΧΑΚΗ ΦΙΛΙΑ </t>
  </si>
  <si>
    <t>ΑΒ791035</t>
  </si>
  <si>
    <t>ΒΛΑΧΑΚΗΣ ΕΜΜΑΝΟΥΗΛ</t>
  </si>
  <si>
    <t>Φ160137</t>
  </si>
  <si>
    <t>ΒΛΑΧΟΔΗΜΟΣ ΝΙΚΟΛΑΟΣ</t>
  </si>
  <si>
    <t>ΑΗ786271</t>
  </si>
  <si>
    <t>ΒΛΑΧΟΔΗΜΟΥ ΔΕΣΠΟΙΝΑ</t>
  </si>
  <si>
    <t>Ρ208592</t>
  </si>
  <si>
    <t>Βλαχοπανου Κωνσταντινα</t>
  </si>
  <si>
    <t>Αρι</t>
  </si>
  <si>
    <t>ΑΒ077967</t>
  </si>
  <si>
    <t>ΥΕ ΠΡΟΣΩΠΙΚΟ ΚΑΘΑΡΙΟΤΗΤΑΣ ΕΣΩΤΕΡΙΚΩΝ ΕΞΩΤΕΡΙΚΩΝ ΧΩΡΩΝ</t>
  </si>
  <si>
    <t>ΒΛΑΧΟΠΟΥΛΟΣ ΠΑΝΤΕΛΕΗΜΩΝ</t>
  </si>
  <si>
    <t>Χ371794</t>
  </si>
  <si>
    <t>ΒΛΑΧΟΠΟΥΛΟΥ ΕΙΡΗΝΗ</t>
  </si>
  <si>
    <t>ΑΗ379448</t>
  </si>
  <si>
    <t>ΒΛΑΧΟΠΟΥΛΟΥ ΕΛΕΝΗ</t>
  </si>
  <si>
    <t>Ν628024</t>
  </si>
  <si>
    <t>ΒΛΑΧΟΠΟΥΛΟΥ ΣΟΦΙΑ</t>
  </si>
  <si>
    <t>ΑΓΓ</t>
  </si>
  <si>
    <t>Ρ251418</t>
  </si>
  <si>
    <t>ΔΗΜΟΣ ΕΠΙΔΑΥΡΟΥ ΑΡΓΟΛΙΔΟΣ</t>
  </si>
  <si>
    <t>ΒΛΑΧΟΠΟΥΛΟΥ ΧΑΡΙΚΛΕΙΑ</t>
  </si>
  <si>
    <t>Σ918494</t>
  </si>
  <si>
    <t>ΒΛΑΧΟΣ ΓΕΩΡΓΙΟΣ</t>
  </si>
  <si>
    <t>Π440634</t>
  </si>
  <si>
    <t>ΑΖ703025</t>
  </si>
  <si>
    <t>ΔΗΜΟΣ ΚΟΡΙΝΘΙΩΝ ΚΟΡΙΝΘΙΑΣ</t>
  </si>
  <si>
    <t>ΒΛΑΧΟΣ ΔΗΜΗΤΡΙΟΣ</t>
  </si>
  <si>
    <t>ΑΜ849010</t>
  </si>
  <si>
    <t>ΒΛΑΧΟΣ ΙΩΑΝΝΗΣ</t>
  </si>
  <si>
    <t>ΑΖ160618</t>
  </si>
  <si>
    <t>ΒΛΑΧΟΣ ΝΙΚΟΛΑΟΣ</t>
  </si>
  <si>
    <t>ΑΙ167602</t>
  </si>
  <si>
    <t>ΒΛΑΧΟΣ ΝΙΚΟΛΑΟΣ-ΣΠΥΡΙΔΩΝ</t>
  </si>
  <si>
    <t>ΑΕ294065</t>
  </si>
  <si>
    <t>ΒΛΑΧΟΥ ΑΝΑΣΤΑΣΙΑ</t>
  </si>
  <si>
    <t>Σ355257</t>
  </si>
  <si>
    <t>ΔΗΜΟΣ ΑΡΓΟΥΣ - ΜΥΚΗΝΩΝ</t>
  </si>
  <si>
    <t>Ν492395</t>
  </si>
  <si>
    <t>ΒΛΑΧΟΥ ΕΛΕΝΗ</t>
  </si>
  <si>
    <t>Π440664</t>
  </si>
  <si>
    <t>ΒΛΑΧΟΥ ΜΑΡΙΑ</t>
  </si>
  <si>
    <t>ΑΜ606325</t>
  </si>
  <si>
    <t>ΒΛΑΧΟΥ ΝΙΚΟΛΑΟΣ</t>
  </si>
  <si>
    <t>Χ390429</t>
  </si>
  <si>
    <t>Βλαχου Αναστασια</t>
  </si>
  <si>
    <t>Αθα</t>
  </si>
  <si>
    <t>Ρ375550</t>
  </si>
  <si>
    <t>ΒΛΗΣΑΡΟΥΛΗ ΔΕΣΠΟΙΝΑ</t>
  </si>
  <si>
    <t>Ρ888189</t>
  </si>
  <si>
    <t>ΒΟΓΙΑΤΖΗΣ ΙΩΑΝΝΗΣ</t>
  </si>
  <si>
    <t>ΑΖ986366</t>
  </si>
  <si>
    <t>ΒΟΙΚΟΣ ΓΕΩΡΓΙΟΣ</t>
  </si>
  <si>
    <t>ΑΕ425008</t>
  </si>
  <si>
    <t>ΒΟΛΑΚΗΣ ΔΗΜΗΤΡΙΟΣ</t>
  </si>
  <si>
    <t>Φ349555</t>
  </si>
  <si>
    <t>ΥΕ ΟΔΟΚΑΘΑΡΙΣΤΩΝ (ΕΡΓΑΤΩΝ ΚΑΘΑΡΙΟΤΗΤΑΣ)</t>
  </si>
  <si>
    <t>ΒΟΛΙΚΑΚΗΣ ΓΕΩΡΓΙΟΣ</t>
  </si>
  <si>
    <t>Τ103199</t>
  </si>
  <si>
    <t>ΒΟΛΙΩΤΗΣ ΝΙΚΟΛΑΟΣ</t>
  </si>
  <si>
    <t>ΑΕ834919</t>
  </si>
  <si>
    <t xml:space="preserve">ΒΟΛΥΡΑΚΗ ΠΑΡΑΣΚΕΥΗ </t>
  </si>
  <si>
    <t>Π894551</t>
  </si>
  <si>
    <t>ΒΟΛΩΝΑΚΗ ΕΛΕΝΗ</t>
  </si>
  <si>
    <t>ΑΜ467029</t>
  </si>
  <si>
    <t>ΒΟΝΤΣΑ ΕΛΕΥΘΕΡΙΑ</t>
  </si>
  <si>
    <t>ΑΑ870371</t>
  </si>
  <si>
    <t xml:space="preserve">ΒΟΡΥΛΛΑ ΔΗΜΗΤΡΑ </t>
  </si>
  <si>
    <t>Σ810553</t>
  </si>
  <si>
    <t>ΒΟΣΤΑΝΤΑΣ ΑΘΑΝΑΣΙΟΣ</t>
  </si>
  <si>
    <t>ΑΗ078411</t>
  </si>
  <si>
    <t>ΒΟΣΤΑΝΤΑΣ ΓΕΩΡΓΙΟΣ</t>
  </si>
  <si>
    <t>Χ724016</t>
  </si>
  <si>
    <t>ΒΟΤΖΟΥΡΑΚΗΣ ΓΕΩΡΓ</t>
  </si>
  <si>
    <t>ΑΒ054383</t>
  </si>
  <si>
    <t>ΔΗΜΟΣ ΣΦΑΚΙΩΝ ΧΑΝΙΩΝ</t>
  </si>
  <si>
    <t>ΒΟΥΔΟΥΡΑΓΚΑΚΗ ΡΟΥΣΑ</t>
  </si>
  <si>
    <t>ΑΜ901100</t>
  </si>
  <si>
    <t>ΔΗΜΟΤΙΚΗ ΕΠΙΧΕΙΡΗΣΗ ΥΔΡΕΥΣΗΣ - ΑΠΟΧΕΤΕΥΣΗΣ ΠΑΙΟΝΙΑΣ (Δ.Ε.Υ.Α.Π.)</t>
  </si>
  <si>
    <t>ΒΟΥΔΟΥΡΗ ΟΛΥΜΠΙΑ</t>
  </si>
  <si>
    <t>ΑΚ310795</t>
  </si>
  <si>
    <t>ΒΟΥΔΡΙΣΛΗ ΚΩΝΣΤΑΝΤΙΝΑ</t>
  </si>
  <si>
    <t>ΤΡΑ</t>
  </si>
  <si>
    <t>Χ021812</t>
  </si>
  <si>
    <t>ΒΟΥΘΑΣ ΝΙΚΟΛΑΟΣ</t>
  </si>
  <si>
    <t>ΑΗ087408</t>
  </si>
  <si>
    <t>ΒΟΥΛΓΑΡΑΚΗ ΑΙΚΑΤΕΡΙΝΗ</t>
  </si>
  <si>
    <t>Χ222700</t>
  </si>
  <si>
    <t>ΒΟΥΛΓΑΡΑΚΗΣ ΙΩΑΝΝΗΣ</t>
  </si>
  <si>
    <t>Π517925</t>
  </si>
  <si>
    <t>ΒΟΥΛΓΑΡΗ ΜΑΡΙΝΑ</t>
  </si>
  <si>
    <t>ΑΖ740759</t>
  </si>
  <si>
    <t>ΒΟΥΛΓΑΡΗ ΠΑΡΑΣΚΕΥΗ</t>
  </si>
  <si>
    <t>Π797792</t>
  </si>
  <si>
    <t>ΒΟΥΛΓΑΡΗ ΧΑΡΟΥΛΑ</t>
  </si>
  <si>
    <t>Ρ855534</t>
  </si>
  <si>
    <t>ΒΟΥΛΓΑΡΗΣ ΓΕΩΡΓ</t>
  </si>
  <si>
    <t>Χ220636</t>
  </si>
  <si>
    <t>ΒΟΥΛΓΑΡΗΣ ΠΑΝΑΓΙΩΤΗΣ</t>
  </si>
  <si>
    <t>ΑΖ129499</t>
  </si>
  <si>
    <t>ΒΟΥΛΓΑΡΗΣ ΧΑΡΑΛΑΜΠΟΣ</t>
  </si>
  <si>
    <t>ΑΚ397801</t>
  </si>
  <si>
    <t>ΒΟΥΛΓΑΡΙΔΗΣ ΚΩΝΣΤΑΝΤΙΝΟΣ</t>
  </si>
  <si>
    <t>ΑΗ402686</t>
  </si>
  <si>
    <t>ΒΟΥΛΓΑΡΟΓΛΟΥ ΧΡΗΣΤΟΣ</t>
  </si>
  <si>
    <t>ΑΕ892718</t>
  </si>
  <si>
    <t>ΒΟΥΛΓΑΡΟΥΔΗΣ ΣΠΥΡΙΔΩΝ</t>
  </si>
  <si>
    <t>ΤΡΙ</t>
  </si>
  <si>
    <t>ΑΚ709957</t>
  </si>
  <si>
    <t>ΒΟΥΛΙΣΤΙΩΤΗ ΕΥΑΓΓΕΛΙΤΣΑ</t>
  </si>
  <si>
    <t>ΑΗ749394</t>
  </si>
  <si>
    <t>ΒΟΥΛΟΥΞΗ ΓΙΑΝΝΙΤΣΑ</t>
  </si>
  <si>
    <t>Χ809874</t>
  </si>
  <si>
    <t>ΒΟΥΡΒΑΧΑΚΗΣ ΕΜΜΑΝΟΥΗΛ</t>
  </si>
  <si>
    <t>Ν971147</t>
  </si>
  <si>
    <t>ΒΟΥΡΛΙΑΣ ΑΘΑΝΑΣΙΟΣ</t>
  </si>
  <si>
    <t>ΑΗ841542</t>
  </si>
  <si>
    <t>ΒΟΥΡΛΙΩΤΗΣ ΕΥΑΓΓΕΛΟΣ</t>
  </si>
  <si>
    <t>ΑΖ439365</t>
  </si>
  <si>
    <t>ΒΟΥΤΟΣ ΑΝΑΣΤΑΣΙΟΣ</t>
  </si>
  <si>
    <t>ΑΗ261265</t>
  </si>
  <si>
    <t>ΒΟΥΤΥΡΙΑΔΗΣ ΝΙΚΟΛΑΟΣ</t>
  </si>
  <si>
    <t>ΑΒΡ</t>
  </si>
  <si>
    <t>Χ061244</t>
  </si>
  <si>
    <t>ΒΡΑΚΑΤΟΥ ΕΛΕΝΗ</t>
  </si>
  <si>
    <t>ΠΑΣ</t>
  </si>
  <si>
    <t>Φ293508</t>
  </si>
  <si>
    <t>ΒΡΑΣΤΑΜΝΟΣ ΜΑΡΙΟΣ</t>
  </si>
  <si>
    <t>Σ572251</t>
  </si>
  <si>
    <t>ΒΡΑΧΝΑ ΑΙΚΑΤΕΡΙΝΗ</t>
  </si>
  <si>
    <t>ΑΒ953410</t>
  </si>
  <si>
    <t>ΔΗΜΟΣ ΚΩ ΔΩΔΕΚΑΝΗΣΟΥ</t>
  </si>
  <si>
    <t>ΥΕ ΕΡΓΑΤΩΝ ΚΑΘΑΡΙΟΤΗΤΑΣ (ΟΔΟΚΑΘΑΡΙΣΤΩΝ)</t>
  </si>
  <si>
    <t>ΒΡΑΧΝΟΣ ΙΩΑΝΝΗΣ</t>
  </si>
  <si>
    <t>ΑΜ123407</t>
  </si>
  <si>
    <t>ΒΡΕΤΤΟΣ ΘΕΟΔΩΡΟΣ</t>
  </si>
  <si>
    <t>ΑΖ944727</t>
  </si>
  <si>
    <t>ΔΗΜΟΣ ΚΕΑΣ ΚΥΚΛΑΔΩΝ</t>
  </si>
  <si>
    <t>ΒΥΖΑΝΙΑΡΗ ΑΡΓΕΤΤΑ</t>
  </si>
  <si>
    <t>ΑΜ933787</t>
  </si>
  <si>
    <t>ΓΑΒΑΛΛΑ ΜΑΡΙΑ</t>
  </si>
  <si>
    <t>ΑΗ442331</t>
  </si>
  <si>
    <t>ΔΗΜΟΣ ΣΥΡΟΥ ΕΡΜΟΥΠΟΛΗΣ ΣΥΡΟΥ</t>
  </si>
  <si>
    <t>ΓΑΒΖΙΑ ΗΡΑΚΛΗΣ</t>
  </si>
  <si>
    <t>ΑΗ648453</t>
  </si>
  <si>
    <t>ΓΑΒΡΙΔΗΣ ΙΩΑΝΝΗΣ</t>
  </si>
  <si>
    <t>ΑΖ124815</t>
  </si>
  <si>
    <t>ΓΑΒΡΙΗΛΙΔΟΥ ΑΝΑΣΤΑΣΙΑ</t>
  </si>
  <si>
    <t>Ξ871015</t>
  </si>
  <si>
    <t>ΓΑΒΡΙΗΛΙΔΟΥ ΕΛΙΣΑΒΕΤ</t>
  </si>
  <si>
    <t>ΑΚ856037</t>
  </si>
  <si>
    <t>ΓΑΒΡΙΚΟΥΔΗΣ ΣΤΑΥΡΟΣ</t>
  </si>
  <si>
    <t>Χ991355</t>
  </si>
  <si>
    <t>ΓΑΓΑΝΗΣ ΝΙΚΟΛΑΟΣ</t>
  </si>
  <si>
    <t>ΑΜ473576</t>
  </si>
  <si>
    <t>ΓΑΖΙΑΛΗ ΜΑΡΙΑ</t>
  </si>
  <si>
    <t>ΑΙ889901</t>
  </si>
  <si>
    <t>ΥΕ ΕΡΓΑΤΩΝ ΑΠΟΧΕΤΕΥΣΗΣ - ΒΙΟΛΟΓΙΚΩΝ ΚΑΘΑΡΙΣΜΩΝ</t>
  </si>
  <si>
    <t>ΓΑΖΟΣ ΕΥΣΤΑΘΙΟΣ</t>
  </si>
  <si>
    <t>ΑΒ765991</t>
  </si>
  <si>
    <t>ΥΕ ΚΑΤΑΜΕΤΡΗΤΩΝ ΕΝΔΕΙΞΕΩΝ ΥΔΡΟΜΕΤΡΩΝ</t>
  </si>
  <si>
    <t>ΓΑΙΡΟΣ ΙΣΑΑΚ</t>
  </si>
  <si>
    <t>ΑΖ680771</t>
  </si>
  <si>
    <t>ΓΑΙΤΑΝΙΔΗΣ ΙΟΡΔΑΝΗΣ</t>
  </si>
  <si>
    <t>ΑΝ760678</t>
  </si>
  <si>
    <t>ΓΑΙΤΑΝΟΣ ΜΑΛΑΜΑΣ</t>
  </si>
  <si>
    <t>Φ420200</t>
  </si>
  <si>
    <t>ΓΑΙΤΑΤΖΗΣ ΙΩΑΝΝΗΣ</t>
  </si>
  <si>
    <t>ΑΚ887508</t>
  </si>
  <si>
    <t>ΓΑΚΗ ΓΕΩΡΓΙΑ</t>
  </si>
  <si>
    <t>Χ 759867</t>
  </si>
  <si>
    <t>ΓΑΚΗ ΚΩΝΣΤΑΝΤΙΝΑ</t>
  </si>
  <si>
    <t>Χ220452</t>
  </si>
  <si>
    <t>ΓΑΚΗΣ ΙΩΑΝΝΗΣ</t>
  </si>
  <si>
    <t>Ν645454</t>
  </si>
  <si>
    <t>ΓΑΛΑΘΡΗΣ ΜΙΧΑΗΛ</t>
  </si>
  <si>
    <t>ΑΗ453249</t>
  </si>
  <si>
    <t>ΓΑΛΑΝΑΚΗΣ ΘΕΟΔΩΡΟΣ</t>
  </si>
  <si>
    <t>Ξ522942</t>
  </si>
  <si>
    <t>ΓΑΛΑΝΟΠΟΥΛΟΣ ΗΛΙΑΣ</t>
  </si>
  <si>
    <t>ΑΒ516029</t>
  </si>
  <si>
    <t>ΓΑΛΑΝΟΠΟΥΛΟΥ ΘΕΟΔΩΡΑ</t>
  </si>
  <si>
    <t>ΑΒ080889</t>
  </si>
  <si>
    <t>ΓΑΛΑΝΟΠΟΥΛΟΥ ΧΡΙΣΤΙΝΑ</t>
  </si>
  <si>
    <t>Σ604792</t>
  </si>
  <si>
    <t>ΓΑΛΑΝΟΣ ΔΗΜΗΤΡΙΟΣ</t>
  </si>
  <si>
    <t>ΑΗ854522</t>
  </si>
  <si>
    <t>ΓΑΛΑΝΟΣ ΔΗΜΟΣΘΕΝΗΣ</t>
  </si>
  <si>
    <t>Ξ392832</t>
  </si>
  <si>
    <t>ΔΗΜΟΣ ΕΛΛΗΝΙΚΟΥ ΑΡΓΥΡΟΥΠΟΛΗΣ ΑΘΗΝΩΝ</t>
  </si>
  <si>
    <t>ΓΑΛΑΝΟΥ ΖΩΗ</t>
  </si>
  <si>
    <t>Χ584059</t>
  </si>
  <si>
    <t>ΓΑΛΑΝΟΥ ΜΑΡΙΑ</t>
  </si>
  <si>
    <t>Π353250</t>
  </si>
  <si>
    <t>ΔΗΜΟΣ ΕΛΑΣΣΟΝΑΣ</t>
  </si>
  <si>
    <t>ΥΕ ΕΡΓΑΤΩΝ ΚΑΘΑΡΙΟΤΗΤΑΣ (ΣΥΝΟΔΩΝ ΑΠΟΡΡΙΜΜΑΤΟΦΟΡΩΝ, ΕΡΓΑΤΩΝ ΕΞΩΤΕΡΙΚΩΝ ΧΩΡΩΝ )</t>
  </si>
  <si>
    <t>ΓΑΛΑΝΤΗΣ ΚΩΝΣΤΑΝΤΙΝΟΣ</t>
  </si>
  <si>
    <t>ΑΕ955701</t>
  </si>
  <si>
    <t>ΓΑΛΕΑ ΕΥΘΥΜΙΑ</t>
  </si>
  <si>
    <t>Λ958751</t>
  </si>
  <si>
    <t>Γαληνού Σοφία</t>
  </si>
  <si>
    <t>ΑΙ189646</t>
  </si>
  <si>
    <t>ΓΑΛΙΟΝΤΖΑΚΗ ΕΛΕΝΗ</t>
  </si>
  <si>
    <t>Ρ100949</t>
  </si>
  <si>
    <t>ΓΑΛΙΟΥΡΑΣ ΑΝΔΡΕΑΣ</t>
  </si>
  <si>
    <t>Χ477294</t>
  </si>
  <si>
    <t>ΓΑΛΟΓΑΥΡΟΣ ΓΕΩΡΓΙΟΣ</t>
  </si>
  <si>
    <t>ΑΗ228900</t>
  </si>
  <si>
    <t>ΓΑΡΔΙΚΙΩΤΗ ΜΑΡΙΑ</t>
  </si>
  <si>
    <t>ΑΚ395307</t>
  </si>
  <si>
    <t>ΓΑΡΟΠΟΥΛΟΣ ΕΥΑΓΓΕΛΟΣ</t>
  </si>
  <si>
    <t>ΑΖ345159</t>
  </si>
  <si>
    <t>ΓΑΡΟΥΦΑΛΙΔΗΣ ΧΡΗΣΤΟΣ</t>
  </si>
  <si>
    <t>Κ611744</t>
  </si>
  <si>
    <t>ΓΑΡΟΦΑΛΑΚΗ ΑΡΓΥΡΩ</t>
  </si>
  <si>
    <t>ΑΗ973255</t>
  </si>
  <si>
    <t>ΓΑΣΤΕΡΑΤΟΥ ΣΠΥΡΙΔΟΥΛΑ</t>
  </si>
  <si>
    <t>ΑΙ271147</t>
  </si>
  <si>
    <t>ΓΑΤΣΙΑ ΔΗΜΗΤΡΑ</t>
  </si>
  <si>
    <t>ΑΒ998256</t>
  </si>
  <si>
    <t xml:space="preserve">ΓΑΤΣΟΥΛΗ ΜΑΡΙΑ </t>
  </si>
  <si>
    <t>Σ518394</t>
  </si>
  <si>
    <t>ΓΑΥΓΙΩΤΑΚΗΣ ΔΗΜΗΤΡΙΟΣ</t>
  </si>
  <si>
    <t>ΑΑ274393</t>
  </si>
  <si>
    <t>ΓΕΒΡΕΚΗ ΠΑΝΑΓΙΩΤΑ</t>
  </si>
  <si>
    <t>ΑΕ156741</t>
  </si>
  <si>
    <t>ΓΕΜΕΛΙΑΡΗ ΚΩΝΣΤΑΝΤΙΝΑ</t>
  </si>
  <si>
    <t>ΑΙ416849</t>
  </si>
  <si>
    <t>ΔΗΜΟΣ ΠΑΡΟΥ ΚΥΚΛΑΔΩΝ</t>
  </si>
  <si>
    <t>ΓΕΜΕΛΙΑΡΗΣ ΓΕΩΡΓΙΟΣ</t>
  </si>
  <si>
    <t>ΑΒ305851</t>
  </si>
  <si>
    <t>ΓΕΝΙΤΣΑΡΟΠΟΥΛΟΣ ΣΕΡΑΦΕΙΜ</t>
  </si>
  <si>
    <t>ΑΜ999150</t>
  </si>
  <si>
    <t>ΓΕΡΑΚΙΟΣ ΘΕΜΕΛΗΣ</t>
  </si>
  <si>
    <t>ΑΙ994330</t>
  </si>
  <si>
    <t>ΔΗΜΟΣ ΔΙΣΤΟΜΟΥ - ΑΡΑΧΩΒΑΣ - ΑΝΤΙΚΥΡΑΣ</t>
  </si>
  <si>
    <t>ΓΕΡΑΡΔΗ ΑΝΑΣΤΑΣΙΑ</t>
  </si>
  <si>
    <t>ΑΗ032277</t>
  </si>
  <si>
    <t>ΓΕΡΑΣΙΜΙΔΟΥ ΕΥΤΥΧΙΑ</t>
  </si>
  <si>
    <t>ΑΚ991340</t>
  </si>
  <si>
    <t>ΓΕΡΑΣΟΠΟΥΛΟΥ ΕΥΘΥΜΙΑ</t>
  </si>
  <si>
    <t>Φ474156</t>
  </si>
  <si>
    <t>ΔΗΜΟΤΙΚΗ ΕΠΙΧΕΙΡΗΣΗ ΥΔΡΕΥΣΗΣ ΑΠΟΧΕΤΕΥΣΗΣ ΦΑΡΣΑΛΩΝ (Δ.Ε.Υ.Α.Φ.)</t>
  </si>
  <si>
    <t>ΥΕ ΒΟΗΘΩΝ - ΕΡΓΑΤΩΝ ΓΕΝΙΚΩΝ ΚΑΘΗΚΟΝΤΩΝ</t>
  </si>
  <si>
    <t>ΓΕΡΟΒΑΣΙΛΗΣ ΡΩΣΣΕΤΟΣ - ΠΑΝΑΓΙΩΤΗΣ</t>
  </si>
  <si>
    <t>ΑΖ917761</t>
  </si>
  <si>
    <t>ΓΕΡΟΚΩΝΣΤΑΝΤΗΣ ΕΥΑΓΓΕΛΟΣ</t>
  </si>
  <si>
    <t>Χ504425</t>
  </si>
  <si>
    <t>ΓΕΡΟΚΩΝΣΤΑΝΤΗΣ ΧΡΗΣΤΟΣ</t>
  </si>
  <si>
    <t>ΑΖ077840</t>
  </si>
  <si>
    <t>ΓΕΡΟΝΙΚΟΥ ΜΑΡΙΑ</t>
  </si>
  <si>
    <t>ΑΗ545648</t>
  </si>
  <si>
    <t>ΓΕΡΟΝΤΑΡΗ ΜΑΡΙΑ</t>
  </si>
  <si>
    <t>ΑΗ582178</t>
  </si>
  <si>
    <t>ΔΗΜΟΣ ΣΕΡΙΦΟΥ ΚΥΚΛΑΔΩΝ</t>
  </si>
  <si>
    <t>ΓΕΡΟΥ ΧΡΥΣΑΦΩ</t>
  </si>
  <si>
    <t>Φ377224</t>
  </si>
  <si>
    <t>ΓΕΡΟΧΡΗΣΤΟΣ ΙΩΑΝΝΗΣ</t>
  </si>
  <si>
    <t>Χ383806</t>
  </si>
  <si>
    <t>ΓΕΡΟΧΡΗΣΤΟΥ ΑΝΑΣΤΑΣΙΑ</t>
  </si>
  <si>
    <t>Χ383958</t>
  </si>
  <si>
    <t>ΓΕΡΟΧΡΗΣΤΟΥ ΑΣΗΜΙΝΑ</t>
  </si>
  <si>
    <t>ΑΜ982031</t>
  </si>
  <si>
    <t>ΔΗΜΟΣ ΑΜΦΙΚΛΕΙΑΣ - ΕΛΑΤΕΙΑΣ</t>
  </si>
  <si>
    <t>ΥΕ ΕΡΓΑΤΩΝ ΓΕΝΙΚΑ</t>
  </si>
  <si>
    <t xml:space="preserve">ΓΕΡΩΝΙΔΗΣ ΔΗΜΗΤΡΙΟΣ </t>
  </si>
  <si>
    <t>ΑΝ541915</t>
  </si>
  <si>
    <t>ΓΕΣΟΥΛΑ ΣΟΥΛΤΑΝΑ</t>
  </si>
  <si>
    <t>Χ914511</t>
  </si>
  <si>
    <t>ΓΕΤΙΜΗΣ ΓΡΗΓΟΡΙΟΣ</t>
  </si>
  <si>
    <t>ΑΒ193698</t>
  </si>
  <si>
    <t>ΓΕΩΡΓΑΚΑ ΙΩΑΝΝΑ</t>
  </si>
  <si>
    <t>Χ925488</t>
  </si>
  <si>
    <t>ΓΕΩΡΓΑΚΑΚΗ ΕΛΙΣΑΒΕΤ</t>
  </si>
  <si>
    <t>ΑΙ961197</t>
  </si>
  <si>
    <t>ΓΕΩΡΓΑΚΗ ΧΡΙΣΤΙΑΝΑ</t>
  </si>
  <si>
    <t>Φ203982</t>
  </si>
  <si>
    <t>ΓΕΩΡΓΑΚΟΠΟΥΛΟΣ ΓΕΩΡΓΙΟΣ</t>
  </si>
  <si>
    <t>Π057412</t>
  </si>
  <si>
    <t>ΓΕΩΡΓΑΚΟΠΟΥΛΟΣ ΣΩΤΗΡΙΟΣ</t>
  </si>
  <si>
    <t>ΑΒ084868</t>
  </si>
  <si>
    <t>ΓΕΩΡΓΑΚΟΠΟΥΛΟΥ ΑΙΚΑΤΕΡΙΝΗ</t>
  </si>
  <si>
    <t>ΘΕΩ</t>
  </si>
  <si>
    <t>Ρ271516</t>
  </si>
  <si>
    <t>ΓΕΩΡΓΑΚΟΠΟΥΛΟΥ ΑΝΑΣΤΑΣΙΑ</t>
  </si>
  <si>
    <t>Μ885147</t>
  </si>
  <si>
    <t>ΔΗΜΟΣ ΔΩΡΙΔΟΣ</t>
  </si>
  <si>
    <t>ΓΕΩΡΓΑΚΟΠΟΥΛΟΥ ΧΡΙΣΤΙΝΑ</t>
  </si>
  <si>
    <t>ΑΒ754114</t>
  </si>
  <si>
    <t>ΓΕΩΡΓΑΚΟΥΔΗ ΕΙΡΗΝΗ</t>
  </si>
  <si>
    <t>Φ166213</t>
  </si>
  <si>
    <t>ΓΕΩΡΓΑΛΗ ΜΑΡΙΑ</t>
  </si>
  <si>
    <t>ΑΙ479864</t>
  </si>
  <si>
    <t>ΔΗΜΟΣ ΒΡΙΛΗΣΣΙΩΝ ΑΘΗΝΩΝ</t>
  </si>
  <si>
    <t>ΓΕΩΡΓΑΤΟΥ ΔΗΜΗΤΡΑ-ΦΩΤΗΝΗ</t>
  </si>
  <si>
    <t>Τ538377</t>
  </si>
  <si>
    <t>ΓΕΩΡΓΙΑΔΗΣ ΒΑΣΙΛΕΙΟΣ</t>
  </si>
  <si>
    <t>ΑΜ516028</t>
  </si>
  <si>
    <t>ΓΕΩΡΓΙΑΔΗΣ ΛΕΩΝΙΔΑΣ</t>
  </si>
  <si>
    <t>Ρ209503</t>
  </si>
  <si>
    <t>ΓΕΩΡΓΙΑΔΗΣ ΤΕΝΓΚΙΣ</t>
  </si>
  <si>
    <t>ΑΜ712974</t>
  </si>
  <si>
    <t>ΓΕΩΡΓΙΑΔΟΥ ΒΑΣΙΛΙΚΗ</t>
  </si>
  <si>
    <t>Φ340271</t>
  </si>
  <si>
    <t>ΥΕ ΦΥΛΑΚΩΝ</t>
  </si>
  <si>
    <t>ΓΕΩΡΓΙΑΔΟΥ ΔΟΜΝΑ</t>
  </si>
  <si>
    <t>ΑΒ670462</t>
  </si>
  <si>
    <t>ΓΕΩΡΓΙΑΔΟΥ ΕΛΕΝΗ</t>
  </si>
  <si>
    <t>ΕΥΡ</t>
  </si>
  <si>
    <t>Ρ748406</t>
  </si>
  <si>
    <t>ΓΕΩΡΓΙΑΔΟΥ ΣΟΦΙΑ</t>
  </si>
  <si>
    <t>ΑΗ322597</t>
  </si>
  <si>
    <t>ΓΕΩΡΓΙΚΟΠΟΥΛΟΣ ΔΗΜΗΤΡΙΟΣ</t>
  </si>
  <si>
    <t>ΠΡΟ</t>
  </si>
  <si>
    <t>ΑΝ485958</t>
  </si>
  <si>
    <t>ΔΗΜΟΣ ΔΕΛΤΑ</t>
  </si>
  <si>
    <t>ΓΕΩΡΓΙΟΣ ΖΙΩΖΙΟΣ</t>
  </si>
  <si>
    <t>Σ456084</t>
  </si>
  <si>
    <t>ΓΕΩΡΓΙΟΣ ΚΟΥΛΟΥΡΗΣ</t>
  </si>
  <si>
    <t>ΑΗ755526</t>
  </si>
  <si>
    <t>ΓΕΩΡΓΙΟΣ ΠΑΠΑΔΟΠΟΥΛΟΣ</t>
  </si>
  <si>
    <t>ΑΚ921471</t>
  </si>
  <si>
    <t>ΓΕΩΡΓΙΟΥ ΑΓΓΕΛΙΚΗ</t>
  </si>
  <si>
    <t>ΑΚ224973</t>
  </si>
  <si>
    <t>ΓΕΩΡΓΙΟΥ ΑΝΝΑ</t>
  </si>
  <si>
    <t>ΑΒ012469</t>
  </si>
  <si>
    <t>ΓΕΩΡΓΙΟΥ ΓΕΩΡΓΙΑ</t>
  </si>
  <si>
    <t>Σ400156</t>
  </si>
  <si>
    <t>ΔΗΜΟΣ ΝΕΑΣ ΣΜΥΡΝΗΣ ΝΟΤΙΟΥ ΤΟΜΕΑ ΑΘΗΝΩΝ</t>
  </si>
  <si>
    <t>ΓΕΩΡΓΙΟΥ ΔΙΑΜΑΝΤΩ</t>
  </si>
  <si>
    <t>Τ376509</t>
  </si>
  <si>
    <t>ΓΕΩΡΓΙΟΥ ΕΛΕΝΗ</t>
  </si>
  <si>
    <t>ΑΜ181149</t>
  </si>
  <si>
    <t>ΑΗ302783</t>
  </si>
  <si>
    <t>ΓΕΩΡΓΙΟΥ ΕΥΑΓΓΕΛΙΑ</t>
  </si>
  <si>
    <t>Σ492859</t>
  </si>
  <si>
    <t>ΓΕΩΡΓΙΟΥ ΙΩΑΝΝΗΣ</t>
  </si>
  <si>
    <t>ΑΒ075844</t>
  </si>
  <si>
    <t>ΔΗΜΟΣ ΑΡΧΑΙΑΣ ΟΛΥΜΠΙΑΣ ΗΛΕΙΑΣ</t>
  </si>
  <si>
    <t>ΓΕΩΡΓΙΤΣΟΠΟΥΛΟΣ ΒΑΣΙΛΕΙΟΣ</t>
  </si>
  <si>
    <t>Ν475819</t>
  </si>
  <si>
    <t>ΓΕΩΡΓΟΓΙΑΝΝΗ ΑΙΚΑΤΕΡΙΝΗ</t>
  </si>
  <si>
    <t>ΑΖ614827</t>
  </si>
  <si>
    <t>ΓΕΩΡΓΟΠΟΥΛΟΣ ΒΑΣΙΛΕΙΟΣ</t>
  </si>
  <si>
    <t>Χ303948</t>
  </si>
  <si>
    <t>ΔΗΜΟΣ ΔΥΤΙΚΗΣ ΑΧΑΪΑΣ</t>
  </si>
  <si>
    <t>ΓΕΩΡΓΟΠΟΥΛΟΣ ΓΕΩΡΓ</t>
  </si>
  <si>
    <t>ΑΜ305019</t>
  </si>
  <si>
    <t>ΓΕΩΡΓΟΠΟΥΛΟΣ ΚΩΝΣΤΑΝΤΙΝΟΣ</t>
  </si>
  <si>
    <t>ΑΚ385406</t>
  </si>
  <si>
    <t>ΓΕΩΡΓΟΠΟΥΛΟΣ ΝΙΚΟΛΑΟΣ</t>
  </si>
  <si>
    <t>ΑΙ216020</t>
  </si>
  <si>
    <t>ΓΕΩΡΓΟΠΟΥΛΟΥ ΑΓΓΕΛΙΚΗ</t>
  </si>
  <si>
    <t>Π878267</t>
  </si>
  <si>
    <t>ΓΕΩΡΓΟΠΟΥΛΟΥ ΑΛΙΚΗ</t>
  </si>
  <si>
    <t>Ξ669205</t>
  </si>
  <si>
    <t>ΓΕΩΡΓΟΠΟΥΛΟΥ ΔΗΜΗΤΡΑ</t>
  </si>
  <si>
    <t>Τ144577</t>
  </si>
  <si>
    <t>ΓΕΩΡΓΟΠΟΥΛΟΥ ΜΑΡΘΑ</t>
  </si>
  <si>
    <t>Σ400118</t>
  </si>
  <si>
    <t>ΓΕΩΡΓΟΠΟΥΛΟΥ ΜΑΡΙΑ</t>
  </si>
  <si>
    <t>ΑΙ210391</t>
  </si>
  <si>
    <t>ΓΕΩΡΓΟΠΟΥΛΟΥ ΣΤΑΜΑΤΙΑ</t>
  </si>
  <si>
    <t>Π173101</t>
  </si>
  <si>
    <t>ΓΕΩΡΓΟΤΑΣ ΘΕΟΔΩΡ</t>
  </si>
  <si>
    <t>ΑΕ777608</t>
  </si>
  <si>
    <t>ΓΕΩΡΓΟΤΑΣ ΣΠΥΡΙΔΩΝ</t>
  </si>
  <si>
    <t>ΑΖ256381</t>
  </si>
  <si>
    <t>ΓΕΩΡΓΟΥ ΠΑΝΑΓΙΩΤΑ</t>
  </si>
  <si>
    <t>ΑΗ072966</t>
  </si>
  <si>
    <t>ΑΚ104068</t>
  </si>
  <si>
    <t>ΓΕΩΡΓΟΥΛΑ ΑΙΚΑΤΕΡΙΝΗ</t>
  </si>
  <si>
    <t>ΑΗ168146</t>
  </si>
  <si>
    <t>ΓΕΩΡΓΟΥΛΗ ΑΓΓΕΛΙΚΗ</t>
  </si>
  <si>
    <t>ΑΜ345296</t>
  </si>
  <si>
    <t>ΔΗΜΟΣ ΣΠΑΡΤΗΣ  ΛΑΚΩΝΙΑΣ</t>
  </si>
  <si>
    <t>ΓΕΩΡΓΟΥΛΗ ΑΘΑΝΑΣΙΑ</t>
  </si>
  <si>
    <t>Ρ812234</t>
  </si>
  <si>
    <t>ΓΕΩΡΓΟΥΛΗΣ ΚΩΝΣΤΑΝΤΙΝΟΣ</t>
  </si>
  <si>
    <t>ΑΚ460500</t>
  </si>
  <si>
    <t>ΔΗΜΟΣ ΚΥΘΝΟΥ ΚΥΚΛΑΔΩΝ</t>
  </si>
  <si>
    <t>ΥΕ ΕΡΓΑΤΕΣ ΥΔΡΕΥΣΗΣ (ΥΔΡΟΝΟΜΕΙΣ)</t>
  </si>
  <si>
    <t>ΓΕΩΡΓΟΥΣΗ ΦΑΝΗ</t>
  </si>
  <si>
    <t>Σ461186</t>
  </si>
  <si>
    <t>ΓΕΩΡΓΟΥΣΗΣ ΔΙΟΝΥΣΙΟΣ</t>
  </si>
  <si>
    <t>ΑΚ990462</t>
  </si>
  <si>
    <t>ΔΗΜΟΣ ΔΙΟΥ ΟΛΥΜΠΟΥ  ΠΙΕΡΙΑΣ</t>
  </si>
  <si>
    <t>ΓΙΑΒΡΟΥΤΑΣ ΠΕΤΡΟΣ</t>
  </si>
  <si>
    <t>ΑΕ443283</t>
  </si>
  <si>
    <t>ΓΙΑΓΓΟΖΙΔΗΣ ΧΑΡΑΛΑΜΠΟΣ</t>
  </si>
  <si>
    <t>ΑΚ858293</t>
  </si>
  <si>
    <t>Γιαγιά Μαρία</t>
  </si>
  <si>
    <t>Νικ</t>
  </si>
  <si>
    <t>Σ309923</t>
  </si>
  <si>
    <t>ΓΙΑΖΙΤΖΗ ΧΡΙΣΤΙΝΑ</t>
  </si>
  <si>
    <t>ΕΚΡ</t>
  </si>
  <si>
    <t>Χ648452</t>
  </si>
  <si>
    <t>ΔΗΜΟΣ ΜΟΣΧΑΤΟΥ ΤΑΥΡΟΥ ΝΟΤΙΟΥ ΤΟΜΕΑ ΑΘΗΝΩΝ</t>
  </si>
  <si>
    <t>ΓΙΑΖΙΤΖΗΣ ΑΓΓΕΛΟΣ</t>
  </si>
  <si>
    <t>ΑΝ169120</t>
  </si>
  <si>
    <t>ΓΙΑΖΙΤΖΗΣ ΑΜΠΟΥΤ</t>
  </si>
  <si>
    <t>ΡΕΖ</t>
  </si>
  <si>
    <t>ΑΖ075959</t>
  </si>
  <si>
    <t>ΓΙΑΖΙΤΖΟΓΛΟΥ ΙΩΑΝΝΗΣ</t>
  </si>
  <si>
    <t>ΑΑ499117</t>
  </si>
  <si>
    <t>ΓΙΑΙΤΖΟΓΛΟΥ ΝΙΚΟΛ</t>
  </si>
  <si>
    <t>ΑΚ367968</t>
  </si>
  <si>
    <t>ΓΙΑΚΑΜΟΖΗΣ ΙΓΝΑΤΙΟΣ</t>
  </si>
  <si>
    <t>ΑΗ768453</t>
  </si>
  <si>
    <t>ΓΙΑΚΙΜΤΖΟΥΚΗ  ΑΓΑΘΗ</t>
  </si>
  <si>
    <t>ΑΗ100691</t>
  </si>
  <si>
    <t>ΓΙΑΚΟΥΕΛ ΣΑΜΟΥΗΛ</t>
  </si>
  <si>
    <t>ΑΙ089441</t>
  </si>
  <si>
    <t>ΓΙΑΚΟΥΜΑΚΗ ΔΕΣΠΟΙΝΑ</t>
  </si>
  <si>
    <t>ΑΖ105062</t>
  </si>
  <si>
    <t>ΓΙΑΚΟΥΜΗ ΣΤΑΥΡΟΥΛΑ</t>
  </si>
  <si>
    <t>Φ230897</t>
  </si>
  <si>
    <t>ΓΙΑΚΟΥΜΗΣ ΓΕΩΡΓ</t>
  </si>
  <si>
    <t>ΑΒ796722</t>
  </si>
  <si>
    <t>ΓΙΑΛΟΥΡΗΣ ΘΕΟΔΩΡΟΣ</t>
  </si>
  <si>
    <t>ΑΙ855633</t>
  </si>
  <si>
    <t>ΓΙΑΛΟΥΡΗΣ ΣΠΥΡΙΔΩΝ</t>
  </si>
  <si>
    <t>Χ498668</t>
  </si>
  <si>
    <t>ΓΙΑΜΑΣ ΑΡΓΥΡΙΟΣ</t>
  </si>
  <si>
    <t>ΑΒ303875</t>
  </si>
  <si>
    <t>ΓΙΑΝΑΚΑΡΗ ΑΝΝΑ</t>
  </si>
  <si>
    <t>Ρ480032</t>
  </si>
  <si>
    <t>ΓΙΑΝΝΑΚΑΚΗΣ ΙΩΑΝΝΗΣ</t>
  </si>
  <si>
    <t>Φ154426</t>
  </si>
  <si>
    <t>ΓΙΑΝΝΑΚΑΡΑΣ ΘΕΟΔΩΡΟΣ</t>
  </si>
  <si>
    <t>ΑΒ492488</t>
  </si>
  <si>
    <t>ΓΙΑΝΝΑΚΗ ΑΡΧΟΝΤΩ</t>
  </si>
  <si>
    <t>ΑΚ655922</t>
  </si>
  <si>
    <t>ΓΙΑΝΝΑΚΗ ΔΗΜΗΤΡΑ</t>
  </si>
  <si>
    <t>ΑΜ618688</t>
  </si>
  <si>
    <t>ΓΙΑΝΝΑΚΗ ΣΤΑΥΡΟΥΛΑ</t>
  </si>
  <si>
    <t>ΑΛΦ</t>
  </si>
  <si>
    <t>ΑΝ495296</t>
  </si>
  <si>
    <t>ΓΙΑΝΝΑΚΗΣ ΝΙΚΟΛΑΟΣ</t>
  </si>
  <si>
    <t>Ρ840673</t>
  </si>
  <si>
    <t>ΓΙΑΝΝΑΚΙΔΗΣ ΓΚΕΛΑ</t>
  </si>
  <si>
    <t>ΣΑΝ</t>
  </si>
  <si>
    <t>ΑΚ309696</t>
  </si>
  <si>
    <t>ΓΙΑΝΝΑΚΟΠΟΥΛΟΣ ΘΩΜΑΣ</t>
  </si>
  <si>
    <t>Ρ895877</t>
  </si>
  <si>
    <t>ΓΙΑΝΝΑΚΟΠΟΥΛΟΣ ΙΩΑΝΝΗΣ</t>
  </si>
  <si>
    <t>ΑΗ112862</t>
  </si>
  <si>
    <t>ΓΙΑΝΝΑΚΟΠΟΥΛΟΣ ΚΩΝΣΤΑΝΤΙΝΟΣ</t>
  </si>
  <si>
    <t>Ρ900337</t>
  </si>
  <si>
    <t>ΓΙΑΝΝΑΚΟΠΟΥΛΟΣ ΧΡΗΣΤΟΣ</t>
  </si>
  <si>
    <t>ΑΒ083490</t>
  </si>
  <si>
    <t>ΓΙΑΝΝΑΚΟΠΟΥΛΟΥ ΑΚΡΙΒΗ</t>
  </si>
  <si>
    <t>ΑΖ710576</t>
  </si>
  <si>
    <t>ΥΕ ΦΥΛΑΚΩΝ ΕΡΓΑΤΩΝ</t>
  </si>
  <si>
    <t>ΓΙΑΝΝΑΚΟΠΟΥΛΟΥ ΒΑΣΙΛΙΚΗ</t>
  </si>
  <si>
    <t>Σ352928</t>
  </si>
  <si>
    <t>ΓΙΑΝΝΑΚΟΠΟΥΛΟΥ ΒΑΣΙΛΙΚΗ ΜΑΡΙΑ</t>
  </si>
  <si>
    <t>ΑΒ547445</t>
  </si>
  <si>
    <t>ΓΙΑΝΝΑΚΟΠΟΥΛΟΥ ΓΕΩΡΓΙΑ</t>
  </si>
  <si>
    <t>ΑΑ773860</t>
  </si>
  <si>
    <t>ΥΕ ΠΡΟΣΩΠΙΚΟ ΚΑΘΑΡΙΟΤΗΤΑΣ (ΟΔΟΚΑΘΑΡΙΣΤΩΝ)</t>
  </si>
  <si>
    <t>ΓΙΑΝΝΑΚΟΠΟΥΛΟΥ ΣΤΑΥΡΟΥΛΑ</t>
  </si>
  <si>
    <t>Π951849</t>
  </si>
  <si>
    <t>ΔΗΜΟΣ ΟΙΧΑΛΙΑΣ ΜΕΣΣΗΝΙΑΣ</t>
  </si>
  <si>
    <t>Χ407270</t>
  </si>
  <si>
    <t>ΓΙΑΝΝΑΡΑ ΦΑΝΗ</t>
  </si>
  <si>
    <t>ΑΝ174060</t>
  </si>
  <si>
    <t>ΓΙΑΝΝΑΡΟΥ ΠΑΝΑΓΙΩΤΑ</t>
  </si>
  <si>
    <t>ΑΗ584459</t>
  </si>
  <si>
    <t>ΓΙΑΝΝΑΤΖΟΓΛΟΥ ΧΡΙΣΤΙΝΑ</t>
  </si>
  <si>
    <t>Ρ132228</t>
  </si>
  <si>
    <t>ΓΙΑΝΝΑΤΟΣ ΑΝΤΩΝΙΟΣ</t>
  </si>
  <si>
    <t>ΑΙ032872</t>
  </si>
  <si>
    <t>ΓΙΑΝΝΕΛΗΣ ΑΘΑΝΑΣΙΟΣ</t>
  </si>
  <si>
    <t>ΑΒ076318</t>
  </si>
  <si>
    <t>ΔΗΜΟΣ ΠΗΝΕΙΟΥ</t>
  </si>
  <si>
    <t>ΥΕ ΕΡΓΑΤΩΝ - ΣΥΝΟΔΟΙ ΑΠΟΡΡΙΜΜΑΤΟΦΟΡΟΥ</t>
  </si>
  <si>
    <t>ΓΙΑΝΝΗ ΑΛΕΞΗ</t>
  </si>
  <si>
    <t>ΑΚ267623</t>
  </si>
  <si>
    <t>ΓΙΑΝΝΗΣ ΣΩΤΗΡΙΟΣ</t>
  </si>
  <si>
    <t>Ν815194</t>
  </si>
  <si>
    <t>ΓΙΑΝΝΙΚΟΠΟΥΛΟΥ ΗΛΙΑ</t>
  </si>
  <si>
    <t>Χ149889</t>
  </si>
  <si>
    <t>ΓΙΑΝΝΙΚΟΠΟΥΛΟΥ ΣΠΥΡΙΔΟΥΛΑ</t>
  </si>
  <si>
    <t>ΑΖ214900</t>
  </si>
  <si>
    <t>ΓΙΑΝΝΙΚΟΣ ΑΛΕΞΑΝΔΡΟΣ</t>
  </si>
  <si>
    <t>Π058793</t>
  </si>
  <si>
    <t>ΓΙΑΝΝΙΩΤΗ ΑΓΓΕΛΙΚΗ</t>
  </si>
  <si>
    <t>ΑΕ240072</t>
  </si>
  <si>
    <t>ΓΙΑΝΝΙΩΤΗ ΑΙΚΑΤΕΡΙΝΗ</t>
  </si>
  <si>
    <t>Σ843129</t>
  </si>
  <si>
    <t>ΔΗΜΟΣ ΖΑΚΥΝΘΟΥ</t>
  </si>
  <si>
    <t>ΓΙΑΝΝΙΩΤΗΣ ΙΩΣΗΦ</t>
  </si>
  <si>
    <t>Τ360497</t>
  </si>
  <si>
    <t>ΓΙΑΝΝΟΠΟΥΛΟΣ ΑΝΤΩΝΙΟΣ</t>
  </si>
  <si>
    <t>ΑΑ036828</t>
  </si>
  <si>
    <t>ΓΙΑΝΝΟΠΟΥΛΟΣ ΚΥΡΙΑΚΟΣ</t>
  </si>
  <si>
    <t>ΑΒ634508</t>
  </si>
  <si>
    <t>ΓΙΑΝΝΟΠΟΥΛΟΣ ΧΡΗΣΤΟΣ</t>
  </si>
  <si>
    <t>Ρ775875</t>
  </si>
  <si>
    <t>ΓΙΑΝΝΟΠΟΥΛΟΥ ΑΘΗΝΑ</t>
  </si>
  <si>
    <t>Τ811219</t>
  </si>
  <si>
    <t>ΔΗΜΟΣ ΝΕΑΠΟΛΗΣ ΣΥΚΕΩΝ ΘΕΣΣΑΛΟΝΙΚΗΣ</t>
  </si>
  <si>
    <t>ΓΙΑΝΝΟΠΟΥΛΟΥ ΑΙΚΑΤΕΡΙΝΗ</t>
  </si>
  <si>
    <t>Χ525817</t>
  </si>
  <si>
    <t>ΓΙΑΝΝΟΠΟΥΛΟΥ ΑΝΝΑ</t>
  </si>
  <si>
    <t>ΑΗ942236</t>
  </si>
  <si>
    <t>ΓΙΑΝΝΟΠΟΥΛΟΥ ΟΥΡΑΝΙΑ</t>
  </si>
  <si>
    <t>Σ604674</t>
  </si>
  <si>
    <t>ΓΙΑΝΝΟΠΟΥΛΟΥ ΣΩΤΗΡΙΑ</t>
  </si>
  <si>
    <t>Χ755882</t>
  </si>
  <si>
    <t>Γιαννοπουλου Λεονορα</t>
  </si>
  <si>
    <t>Λεω</t>
  </si>
  <si>
    <t>ΑΚ689751</t>
  </si>
  <si>
    <t>ΓΙΑΝΝΟΣ ΓΕΩΡΓΙΟΣ</t>
  </si>
  <si>
    <t>ΑΗ808783</t>
  </si>
  <si>
    <t>ΔΗΜΟΣ ΑΛΜΩΠΙΑΣ ΠΕΛΛΑΣ</t>
  </si>
  <si>
    <t>ΓΙΑΝΝΟΥΚΑΚΗΣ ΓΕΩΡΓΙΟΣ</t>
  </si>
  <si>
    <t>Π6333213</t>
  </si>
  <si>
    <t>ΓΙΑΝΝΟΥΚΑΣ ΝΙΚΟΛΑΟΣ ΔΗΜΗΤΡΙΟΣ</t>
  </si>
  <si>
    <t>ΑΙ433784</t>
  </si>
  <si>
    <t>ΓΙΑΝΝΟΥΛΑ ΜΑΡΙΑ</t>
  </si>
  <si>
    <t>Τ475891</t>
  </si>
  <si>
    <t>ΕΝΙΑΙΟΣ ΣΥΝΔΕΣΜΟΣ ΔΙΑΧΕΙΡΙΣΗΣ ΣΤΕΡΕΩΝ ΑΠΟΒΛΗΤΩΝ ΔΗΜΩΝ ΚΑΙ ΚΟΙΝΟΤΗΤΩΝ Ν. ΛΑΡΙΣΑΣ</t>
  </si>
  <si>
    <t>ΥΕ ΕΡΓΑΤΩΝ - ΖΥΓΙΣΤΩΝ</t>
  </si>
  <si>
    <t>ΓΙΑΝΝΟΥΛΑΚΗ-ΛΑΙΟΥ ΖΩΗ</t>
  </si>
  <si>
    <t>ΑΚ570423</t>
  </si>
  <si>
    <t>ΓΙΑΝΝΟΥΛΗΣ ΚΩΝΣΤΑΝΤΙΝΟΣ</t>
  </si>
  <si>
    <t>ΑΝ100843</t>
  </si>
  <si>
    <t>ΓΙΑΝΝΟΥΣΑΣ ΚΩΝΣΤΑΝΤΙΝΟΣ</t>
  </si>
  <si>
    <t xml:space="preserve"> ΔΗ</t>
  </si>
  <si>
    <t>ΑΗ512874</t>
  </si>
  <si>
    <t>ΓΙΑΝΝΟΥΣΗΣ ΑΓΓΕΛΟΣ</t>
  </si>
  <si>
    <t>ΑΗ285432</t>
  </si>
  <si>
    <t>ΓΙΑΝΝΟΥΧΟΥ ΦΩΤΕΙΝΗ</t>
  </si>
  <si>
    <t>Ν784114</t>
  </si>
  <si>
    <t>ΓΙΑΝΤΙΚΗΣ ΠΑΝΑΓΙΩΤΗΣ</t>
  </si>
  <si>
    <t>ΑΝ537216</t>
  </si>
  <si>
    <t>ΓΙΑΠΑΥΛΟΥ ΓΕΩΡΓΙΑ</t>
  </si>
  <si>
    <t>Π930999</t>
  </si>
  <si>
    <t>ΓΙΑΠΑΥΛΟΥ ΔΕΣΠΟΙΝΑ</t>
  </si>
  <si>
    <t>Χ903686</t>
  </si>
  <si>
    <t>ΓΙΑΠΡΑΚΗ ΜΑΙΡΗ</t>
  </si>
  <si>
    <t>ΑΕ827002</t>
  </si>
  <si>
    <t>ΓΙΑΠΡΑΚΗΣ ΠΑΝΤΕΛΗΣ</t>
  </si>
  <si>
    <t>ΑΖ304899</t>
  </si>
  <si>
    <t>ΓΙΑΡΜΗΣ ΑΠΟΣΤΟΛΟΣ</t>
  </si>
  <si>
    <t>Μ700105</t>
  </si>
  <si>
    <t>ΓΙΑΣΑΡ ΟΓΛΟΥ ΣΕΙΜΕ</t>
  </si>
  <si>
    <t>ΖΟΥ</t>
  </si>
  <si>
    <t>ΑΖ880226</t>
  </si>
  <si>
    <t>ΓΙΑΤΑΓΑΝΕΛΛΗΣ ΓΕΩΡΓΙΟΣ</t>
  </si>
  <si>
    <t>ΑΝ433758</t>
  </si>
  <si>
    <t>ΓΙΑΤΡΑ ΣΙΓΟΥΡΑ</t>
  </si>
  <si>
    <t>Τ312160</t>
  </si>
  <si>
    <t>ΓΙΑΤΡΑΣ ΣΤΑΥΡΟΣ</t>
  </si>
  <si>
    <t>Ν517663</t>
  </si>
  <si>
    <t>ΓΙΑΤΣΗΣ ΚΩΝΣΤΑΝΤΙΝΟΣ</t>
  </si>
  <si>
    <t>Σ781187</t>
  </si>
  <si>
    <t>ΓΙΑΤΣΟΥ ΑΝΤΙΓΟΝΗ</t>
  </si>
  <si>
    <t>Σ931684</t>
  </si>
  <si>
    <t>ΓΙΑΧΑΛΗΣ ΠΑΝΑΓΙΩΤΗΣ</t>
  </si>
  <si>
    <t>ΑΖ700258</t>
  </si>
  <si>
    <t>ΓΙΑΧΑΝΟΣ ΧΡΗΣΤΟΣ</t>
  </si>
  <si>
    <t>Π417424</t>
  </si>
  <si>
    <t>ΓΙΑΧΟΥΝΤΗ ΖΩΗ</t>
  </si>
  <si>
    <t>ΑΒ573885</t>
  </si>
  <si>
    <t>ΓΙΔΑΡΑΚΗΣ ΑΝΤΩΝΗΣ ΧΡΙΣΤΟΣ</t>
  </si>
  <si>
    <t>ΑΙ921268</t>
  </si>
  <si>
    <t>ΓΙΟΛΔΑΣΗ ΝΙΚΗ</t>
  </si>
  <si>
    <t>ΑΕ727978</t>
  </si>
  <si>
    <t>ΓΙΟΥΡΕΛΗΣ ΜΑΡΙΟΣ</t>
  </si>
  <si>
    <t>ΑΒ231760</t>
  </si>
  <si>
    <t>ΓΙΡΜΗ ΣΟΦΙΑ</t>
  </si>
  <si>
    <t>Φ078335</t>
  </si>
  <si>
    <t>ΓΙΩΡΓΟΣ ΜΗΛΙΩΤΗΣ</t>
  </si>
  <si>
    <t>Σ400440</t>
  </si>
  <si>
    <t>ΓΙΩΡΓΟΥ ΕΜΜΑΝΟΥΗΛ</t>
  </si>
  <si>
    <t>ΠΥΘ</t>
  </si>
  <si>
    <t>ΑΖ440684</t>
  </si>
  <si>
    <t>ΓΙΩΤΑ ΓΡΗΓΟΡΙΑ</t>
  </si>
  <si>
    <t>Χ390244</t>
  </si>
  <si>
    <t>ΓΙΩΤΑΚΗΣ ΒΑΣΙΛΕΙΟΣ</t>
  </si>
  <si>
    <t>Χ365489</t>
  </si>
  <si>
    <t>ΓΙΩΤΓΙΑΝΝΗΣ ΒΑΣΙΛΕΙΟΣ</t>
  </si>
  <si>
    <t>Τ339858</t>
  </si>
  <si>
    <t>ΔΗΜΟΣ ΖΙΤΣΑΣ ΙΩΑΝΝΙΝΩΝ</t>
  </si>
  <si>
    <t>ΓΙΩΤΗ ΒΑΣΙΛΙΚΗ</t>
  </si>
  <si>
    <t>ΑΚ619168</t>
  </si>
  <si>
    <t>ΓΙΩΤΗΣ ΠΕΤΡΟΣ</t>
  </si>
  <si>
    <t>ΑΙ814889</t>
  </si>
  <si>
    <t>ΓΚΑΒΕΡΑ ΜΑΡΙΑ</t>
  </si>
  <si>
    <t>ΑΚ001720</t>
  </si>
  <si>
    <t>ΓΚΑΒΟΓΙΑΝΝΗ ΑΘΗΝΑ</t>
  </si>
  <si>
    <t>ΑΚ582753</t>
  </si>
  <si>
    <t>ΓΚΑΓΚΑΣ ΔΗΜΗΤΡΙΟΣ</t>
  </si>
  <si>
    <t>Τ061462</t>
  </si>
  <si>
    <t>ΓΚΑΓΚΟΣΗΣ ΝΕΚΤΑΡΙΟΣ</t>
  </si>
  <si>
    <t>ΑΚ616183</t>
  </si>
  <si>
    <t>ΓΚΑΙΤΑΤΖΗΣ ΑΓΑΘΑΓΓΕΛΟΣ</t>
  </si>
  <si>
    <t>ΑΙ358654</t>
  </si>
  <si>
    <t>ΓΚΑΙΤΑΤΖΗΣ ΚΩΝΣΤΑΝΤΙΝΟΣ</t>
  </si>
  <si>
    <t>ΑΕ905080</t>
  </si>
  <si>
    <t>ΔΗΜΟΣ ΠΑΡΑΝΕΣΤΙΟΥ ΔΡΑΜΑΣ</t>
  </si>
  <si>
    <t>ΓΚΑΛΑΝΤΖΙ ΑΓΓΕΛΙΝΑ</t>
  </si>
  <si>
    <t>ΑΚ039018</t>
  </si>
  <si>
    <t>ΓΚΑΝΑ ΜΑΡΙΑ</t>
  </si>
  <si>
    <t>Χ304027</t>
  </si>
  <si>
    <t>ΓΚΑΝΑΣ ΑΡΓΥΡΙΟΣ</t>
  </si>
  <si>
    <t>ΑΕ312467</t>
  </si>
  <si>
    <t>ΓΚΑΝΙΟΥ ΚΥΡΙΑΚΗ</t>
  </si>
  <si>
    <t>ΑΑ487208</t>
  </si>
  <si>
    <t>ΓΚΑΝΤΙΔΟΥ ΘΕΟΔΟΥΛΑ</t>
  </si>
  <si>
    <t>ΑΖ858273</t>
  </si>
  <si>
    <t>Γκαραβελα Χρυσούλα</t>
  </si>
  <si>
    <t>Ηλί</t>
  </si>
  <si>
    <t>Φ265973</t>
  </si>
  <si>
    <t>ΔΗΜΟΤΙΚΗ ΕΠΙΧΕΙΡΗΣΗ ΥΔΡΕΥΣΗΣ ΑΠΟΧΕΤΕΥΣΗΣ ΔΗΜΟΥ ΦΑΡΚΑΔΟΝΑΣ (Δ.Ε.Υ.Α.Φ.)</t>
  </si>
  <si>
    <t>ΓΚΑΡΑΒΕΛΑΣ ΕΛΕΥΘΕΡΙΟΣ</t>
  </si>
  <si>
    <t>ΑΗ286771</t>
  </si>
  <si>
    <t>ΓΚΑΡΑΒΕΛΗ ΕΛΕΝΗ</t>
  </si>
  <si>
    <t>Ξ789597</t>
  </si>
  <si>
    <t>ΓΚΑΡΑΒΕΛΗ ΕΥΘΥΜΙΑ</t>
  </si>
  <si>
    <t>Ρ279762</t>
  </si>
  <si>
    <t>ΓΚΑΡΑΒΕΛΗ ΜΑΡΙΑ</t>
  </si>
  <si>
    <t>Φ290475</t>
  </si>
  <si>
    <t>ΓΚΑΡΑΓΚΟΥΝΗ ΕΥΑΓΓΕΛΙΑ</t>
  </si>
  <si>
    <t>ΑΒ101555</t>
  </si>
  <si>
    <t>ΔΗΜΟΣ ΤΥΡΝΑΒΟΥ ΛΑΡΙΣΑΣ</t>
  </si>
  <si>
    <t>ΓΚΑΡΑΓΚΟΥΝΗ ΘΕΟΝΗ</t>
  </si>
  <si>
    <t>ΑΒ787551</t>
  </si>
  <si>
    <t>ΔΗΜΟΣ ΒΕΛΟΥ - ΒΟΧΑΣ</t>
  </si>
  <si>
    <t>ΓΚΑΡΑΡΙΖΟΥ ΒΑΣΙΛΙΚΗ</t>
  </si>
  <si>
    <t>Σ462355</t>
  </si>
  <si>
    <t>ΓΚΑΡΤΖΩΝΗΣ ΘΩΜΑΣ</t>
  </si>
  <si>
    <t>ΑΗ244994</t>
  </si>
  <si>
    <t>Γκασουκα Βασιλικη</t>
  </si>
  <si>
    <t>Χ775307</t>
  </si>
  <si>
    <t>ΓΚΑΤΖΙΑ ΒΑΣΙΛΙΚΗ</t>
  </si>
  <si>
    <t>ΑΒ422505</t>
  </si>
  <si>
    <t>ΓΚΕΙΒΕΛΙΔΟΥ ΑΙΚΑΤ</t>
  </si>
  <si>
    <t>ΖΩΓ</t>
  </si>
  <si>
    <t>Χ743840</t>
  </si>
  <si>
    <t>ΓΚΕΚΑ ΕΥΑΓΓΕΛΙΑ</t>
  </si>
  <si>
    <t>Φ289536</t>
  </si>
  <si>
    <t>ΓΚΕΚΑ ΜΑΡΙΑ</t>
  </si>
  <si>
    <t>ΑΙ844036</t>
  </si>
  <si>
    <t xml:space="preserve">ΓΚΕΚΑ  ΑΓΓΕΛΙΚΗ </t>
  </si>
  <si>
    <t>ΑΝ350849</t>
  </si>
  <si>
    <t>ΓΚΕΚΑΣ ΒΑΣΙΛΕΙΟΣ</t>
  </si>
  <si>
    <t>ΑΚ488685</t>
  </si>
  <si>
    <t>ΓΚΕΚΟΣ ΙΩΣΗΦ - ΑΛΕΞΑΝΔΡΟΣ</t>
  </si>
  <si>
    <t>ΑΖ255919</t>
  </si>
  <si>
    <t>ΓΚΕΛΗΣ ΚΩΝΣΤΑΝΤΙΝΟΣ</t>
  </si>
  <si>
    <t>ΤΗΛ</t>
  </si>
  <si>
    <t>ΑΙ784029</t>
  </si>
  <si>
    <t>ΓΚΕΡΤΣΗ ΑΝΑΣΤΑΣΙΑ</t>
  </si>
  <si>
    <t>Τ919285</t>
  </si>
  <si>
    <t>ΔΗΜΟΣ ΑΜΥΝΤΑΙΟΥ ΦΛΩΡΙΝΑΣ</t>
  </si>
  <si>
    <t>ΓΚΙΑΦΗΣ ΓΡΗΓΟΡΙΟΣ</t>
  </si>
  <si>
    <t>ΑΙ108843</t>
  </si>
  <si>
    <t>ΓΚΙΖΟΠΟΥΛΟΣ ΠΑΝΤΕΛΗΣ</t>
  </si>
  <si>
    <t>ΤΑΞ</t>
  </si>
  <si>
    <t>Μ564412</t>
  </si>
  <si>
    <t>ΔΗΜΟΣ ΣΑΛΑΜΙΝΑΣ ΠΕΙΡΑΙΑ</t>
  </si>
  <si>
    <t>ΓΚΙΚΑ ΑΘΗΝΑ</t>
  </si>
  <si>
    <t>Χ086642</t>
  </si>
  <si>
    <t>ΓΚΙΚΑΣ ΙΩΑΝΝΗΣ</t>
  </si>
  <si>
    <t>ΑΙ923219</t>
  </si>
  <si>
    <t>ΔΗΜΟΣ ΙΗΤΩΝ ΚΥΚΛΑΔΩΝ</t>
  </si>
  <si>
    <t>ΓΚΙΜΠΙΡΙΤΗ ΑΘΑΝΑΣΙΑ</t>
  </si>
  <si>
    <t>ΑΗ699705</t>
  </si>
  <si>
    <t>ΓΚΙΟΚΑ ΠΕΛΑΓΙΑ</t>
  </si>
  <si>
    <t>ΑΕ094682</t>
  </si>
  <si>
    <t>ΓΚΙΟΤΣΗ ΦΡΑΝΤΣΕΣΚ</t>
  </si>
  <si>
    <t>ΣΥΚ</t>
  </si>
  <si>
    <t>ΑΜ 125738</t>
  </si>
  <si>
    <t>ΓΚΙΟΥΖΕΛΗ ΑΝΝΑ</t>
  </si>
  <si>
    <t>Χ757619</t>
  </si>
  <si>
    <t>ΓΚΙΡΕΤΛΗ ΦΑΤΜΕ</t>
  </si>
  <si>
    <t>ΑΗ411918</t>
  </si>
  <si>
    <t>ΣΥΝΔΕΣΜΟΣ ΔΙΑΧΕΙΡΙΣΗΣ ΑΠΟΡΡΙΜΜΑΤΩΝ ΝΟΜΟΥ ΞΑΝΘΗΣ</t>
  </si>
  <si>
    <t>ΓΚΙΩΝΗ ΠΑΡΑΣΚΕΥΗ</t>
  </si>
  <si>
    <t>Ρ096237</t>
  </si>
  <si>
    <t>ΓΚΛΕΖΑΚΟΣ ΧΡΙΣΤΌΦΟΡΟΣ</t>
  </si>
  <si>
    <t>Χ404720</t>
  </si>
  <si>
    <t>ΓΚΛΕΖΑΚΟΥ ΧΡΙΣΤΙΝΑ</t>
  </si>
  <si>
    <t>Π930468</t>
  </si>
  <si>
    <t>ΔΗΜΟΣ ΕΥΡΩΤΑ</t>
  </si>
  <si>
    <t>ΓΚΛΙΑΟΣ ΚΩΣΤΑΝΤΙΝΟΣ</t>
  </si>
  <si>
    <t>ΑΚ023507</t>
  </si>
  <si>
    <t>ΓΚΛΙΑΤΗ ΒΑΣΙΛΙΚΗ</t>
  </si>
  <si>
    <t>Σ120724</t>
  </si>
  <si>
    <t>ΓΚΟΒΑ ΓΕΩΡΓΙΑ</t>
  </si>
  <si>
    <t>Π878369</t>
  </si>
  <si>
    <t>ΓΚΟΒΟΠΟΥΛΟΣ ΓΕΩΡΓΙΟΣ</t>
  </si>
  <si>
    <t>ΑΗ992031</t>
  </si>
  <si>
    <t>ΓΚΟΛΙΑ ΑΛΕΞΑΝΔΡΑ</t>
  </si>
  <si>
    <t>Ξ168378</t>
  </si>
  <si>
    <t>ΓΚΟΛΦΙΝΟΠΟΥΛΟΥ ΣΩΤΗΡΙΑ</t>
  </si>
  <si>
    <t>ΑΒ616910</t>
  </si>
  <si>
    <t xml:space="preserve">ΓΚΟΛΦΙΝΟΥ ΜΑΡΙΑ </t>
  </si>
  <si>
    <t>ΑΜ952443</t>
  </si>
  <si>
    <t>ΓΚΟΜΩΛΗ ΑΝΑΣΤΑΣΙΑ</t>
  </si>
  <si>
    <t>ΑΑ359001</t>
  </si>
  <si>
    <t>ΔΗΜΟΣ ΗΛΙΔΑΣ ΗΛΕΙΑΣ</t>
  </si>
  <si>
    <t>ΓΚΟΡΟΓΙΑΣ ΑΝΔΡΕΑΣ</t>
  </si>
  <si>
    <t>Ρ238258</t>
  </si>
  <si>
    <t>ΓΚΟΤΖΙΔΗΣ KΩΣΤΑΝΤΙΝΟΣ</t>
  </si>
  <si>
    <t>ΑΖ111965</t>
  </si>
  <si>
    <t>ΓΚΟΤΣΗ ΑΜΑΛΙΑ-ΧΡΙΣΤΙΝΑ</t>
  </si>
  <si>
    <t>Σ685106</t>
  </si>
  <si>
    <t>ΓΚΟΤΣΗ ΓΕΩΡΓΙΑ</t>
  </si>
  <si>
    <t>Ρ378260</t>
  </si>
  <si>
    <t>ΔΗΜΟΣ ΝΑΥΠΛΙΕΩΝ ΑΡΓΟΛΙΔΟΣ</t>
  </si>
  <si>
    <t>ΓΚΟΤΣΗ ΘΩΜΑΗ</t>
  </si>
  <si>
    <t>Χ988523</t>
  </si>
  <si>
    <t>ΓΚΟΤΣΗ ΚΑΛΛΙΟΠΗ</t>
  </si>
  <si>
    <t>ΑΙ126344</t>
  </si>
  <si>
    <t>ΓΚΟΤΣΗ ΜΑΡΙΑ</t>
  </si>
  <si>
    <t>Ρ923987</t>
  </si>
  <si>
    <t>ΓΚΟΤΣΗΣ ΑΝΔΡΕΑΣ</t>
  </si>
  <si>
    <t>ΑΚ344356</t>
  </si>
  <si>
    <t xml:space="preserve">ΓΚΟΤΣΗΣ ΚΩΝΣΤΑΝΤΙΝΟΣ </t>
  </si>
  <si>
    <t>Λ927982</t>
  </si>
  <si>
    <t>ΓΚΟΥΒΕΛΟΣ ΓΕΩΡΓΙΟΣ</t>
  </si>
  <si>
    <t>ΑΒ092852</t>
  </si>
  <si>
    <t>ΔΗΜΟΣ ΒΟΡΕΙΩΝ ΤΖΟΥΜΕΡΚΩΝ</t>
  </si>
  <si>
    <t>ΓΚΟΥΓΙΑ ΑΘΑΝΑΣΙΑ</t>
  </si>
  <si>
    <t>ΑΑ052082</t>
  </si>
  <si>
    <t>ΓΚΟΥΓΙΑΣ ΑΝΔΡΕΑΣ</t>
  </si>
  <si>
    <t>ΑΗ096648</t>
  </si>
  <si>
    <t xml:space="preserve">ΓΚΟΥΓΚΟΥΛΙΑ  ΑΓΛΑΙΑ </t>
  </si>
  <si>
    <t>Ρ892785</t>
  </si>
  <si>
    <t>ΓΚΟΥΓΚΟΥΣΗ ΑΓΓΕΛΙΚΗ</t>
  </si>
  <si>
    <t>ΑΝ146566</t>
  </si>
  <si>
    <t>ΓΚΟΥΓΚΟΥΣΗ ΜΥΡΟΠΗ</t>
  </si>
  <si>
    <t>ΑΜ887441</t>
  </si>
  <si>
    <t>ΓΚΟΥΔΟΥΣΙΔΗΣ ΓΕΩΡΓΙΟΣ</t>
  </si>
  <si>
    <t>Χ134818</t>
  </si>
  <si>
    <t>ΓΚΟΥΘΑΣ ΚΩΝΣΤΑΝΤΙΝΟΣ</t>
  </si>
  <si>
    <t>ΑΗ765169</t>
  </si>
  <si>
    <t>ΓΚΟΥΚΟΥΛΑΡΑΣ μαρκος</t>
  </si>
  <si>
    <t>ΑΖ293558</t>
  </si>
  <si>
    <t>ΓΚΟΥΛΙΟΥΜΗΣ ΧΡΗΣΤΟΣ</t>
  </si>
  <si>
    <t>ΑΜ353254</t>
  </si>
  <si>
    <t>ΓΚΟΥΜΑ ΘΕΟΦΑΝΗ</t>
  </si>
  <si>
    <t>Σ302416</t>
  </si>
  <si>
    <t>ΓΚΟΥΜΑ ΠΕΡΙΣΤΕΡΑ</t>
  </si>
  <si>
    <t>Π361488</t>
  </si>
  <si>
    <t>ΓΚΟΥΝΤΑΝΗ ΓΕΩΡΓΙΑ</t>
  </si>
  <si>
    <t>Χ338576</t>
  </si>
  <si>
    <t>ΓΚΟΥΝΤΗ ΣΤΕΡΓΙΑΝΝΗ</t>
  </si>
  <si>
    <t>Ρ389012</t>
  </si>
  <si>
    <t>ΓΚΟΥΝΤΟΒΑ ΔΕΣΠΟΙΝΑ</t>
  </si>
  <si>
    <t>ΑΒ832833</t>
  </si>
  <si>
    <t>ΓΚΟΥΝΤΟΥΒΑ ΑΙΚΑΤΕΡΙΝΗ</t>
  </si>
  <si>
    <t>Σ454593</t>
  </si>
  <si>
    <t>ΓΚΟΥΡΝΕΛΟΣ ΑΝΔΡΕΑΣ</t>
  </si>
  <si>
    <t>ΑΜ586844</t>
  </si>
  <si>
    <t>ΓΚΟΥΡΤΖΙΝΗΣ ΑΘΑΝΑΣΙΟΣ</t>
  </si>
  <si>
    <t>ΑΙ718712</t>
  </si>
  <si>
    <t>ΓΚΟΥΡΤΖΟΥΝΗ ΚΑΡΑΘΑΝΑΣΗ ΕΛΕΝΗ</t>
  </si>
  <si>
    <t>ΑΡΓ</t>
  </si>
  <si>
    <t>ΑΙ703776</t>
  </si>
  <si>
    <t>ΓΚΟΥΤΖΕΛΑΣ ΝΙΚΟΛΑΟΣ</t>
  </si>
  <si>
    <t>ΑΙ838065</t>
  </si>
  <si>
    <t>ΓΚΟΥΤΜΑΣ ΑΣΤΕΡΙΟΣ</t>
  </si>
  <si>
    <t>ΑΒ218335</t>
  </si>
  <si>
    <t>ΓΚΡΙΖΗ ΕΥΑΓΓΕΛΙΑ</t>
  </si>
  <si>
    <t>ΑΜ397046</t>
  </si>
  <si>
    <t>ΓΛΑΒΑ ΜΑΡΙΑ</t>
  </si>
  <si>
    <t>ΑΚ675766</t>
  </si>
  <si>
    <t>ΓΟΓΑΛΗ ΣΟΦΙΑ ΧΑΡΟΥΛΑ</t>
  </si>
  <si>
    <t>ΑΒ412089</t>
  </si>
  <si>
    <t>ΔΗΜΟΣ ΝΙΚΟΛΑΟΥ ΣΚΟΥΦΑ</t>
  </si>
  <si>
    <t>ΓΟΓΟΛΟΥ ΑΝΔΡΟΜΑΧΗ</t>
  </si>
  <si>
    <t>Φ460506</t>
  </si>
  <si>
    <t>ΔΗΜΟΣ ΖΑΓΟΡΙΟΥ</t>
  </si>
  <si>
    <t>ΓΟΥΒΗΣ ΠΑΝΑΓΙΩΤΗΣ</t>
  </si>
  <si>
    <t>ΑΗ615274</t>
  </si>
  <si>
    <t>ΥΕ ΕΡΓΑΤΩΝ ΚΑΘΑΡΙΟΤΗΤΑΣ (ΠΛΥΝΤΕΣ ΚΑΔΩΝ )</t>
  </si>
  <si>
    <t>ΓΟΥΛΑ ΕΥΑΓΓΕΛΙΑ</t>
  </si>
  <si>
    <t>Ξ308267</t>
  </si>
  <si>
    <t>ΓΟΥΛΑΣ ΑΝΔΡΕΑΣ</t>
  </si>
  <si>
    <t>ΑΝ948187</t>
  </si>
  <si>
    <t>ΓΟΥΛΑΣ ΣΠΥΡΙΔΩΝ</t>
  </si>
  <si>
    <t>Κ699359</t>
  </si>
  <si>
    <t>ΓΟΥΛΙΑΡΜΗ ΜΑΡΙΑ</t>
  </si>
  <si>
    <t>ΑΙ271113</t>
  </si>
  <si>
    <t>ΓΟΥΝΑΡΗ ΠΑΡΑΣΚΕΥΗ</t>
  </si>
  <si>
    <t>ΑΧΙ</t>
  </si>
  <si>
    <t>ΑΖ421956</t>
  </si>
  <si>
    <t>ΓΟΥΝΑΡΗΣ ΓΕΩΡΓΙΟΣ</t>
  </si>
  <si>
    <t>Ν370989</t>
  </si>
  <si>
    <t>ΓΟΥΝΑΡΗΣ ΣΤΑΥΡΟΣ</t>
  </si>
  <si>
    <t>ΑΕ870315</t>
  </si>
  <si>
    <t>ΔΗΜΟΣ ΚΙΛΚΙΣ ΚΙΛΚΙΣ</t>
  </si>
  <si>
    <t>ΓΟΥΝΕΛΑ ΛΟΥΚΙΑ</t>
  </si>
  <si>
    <t>ΑΙ524438</t>
  </si>
  <si>
    <t>ΓΟΥΡΓΙΩΤΗΣ ΙΩΑΝΝΗΣ</t>
  </si>
  <si>
    <t>Π459078</t>
  </si>
  <si>
    <t>ΓΟΥΡΓΟΥΡΗΣ ΧΡΗΣΤΟΣ</t>
  </si>
  <si>
    <t>ΑΓΗ</t>
  </si>
  <si>
    <t>ΑΗ835195</t>
  </si>
  <si>
    <t>ΥΕ ΠΡΟΣΩΠΙΚΟ ΚΑΘΑΡΙΟΤΗΤΑΣ (ΕΡΓΑΤΩΝ ΚΑΘΑΡΙΟΤΗΤΑΣ ΕΞΩΤΕΡΙΚΩΝ ΧΩΡΩΝ)</t>
  </si>
  <si>
    <t>ΓΟΥΡΔΟΜΙΧΑΛΗΣ ΒΑΣΙΛΕΙΟΣ</t>
  </si>
  <si>
    <t>ΑΝ281572</t>
  </si>
  <si>
    <t>ΓΟΥΡΖΗΣ ΔΗΜΗΤΡΙΟΣ</t>
  </si>
  <si>
    <t>ΑΒ418540</t>
  </si>
  <si>
    <t>ΓΟΥΡΜΑΝΗ ΣΤΥΛΙΑΝΗ</t>
  </si>
  <si>
    <t>Σ971998</t>
  </si>
  <si>
    <t>ΓΟΥΡΟΥΝΗ ΒΑΣΙΛΙΚΗ</t>
  </si>
  <si>
    <t>Π832958</t>
  </si>
  <si>
    <t>ΓΟΥΣΓΟΥΝΕΛΗΣ ΗΛΙΑΣ</t>
  </si>
  <si>
    <t>ΑΜ201996</t>
  </si>
  <si>
    <t>ΓΟΥΣΗ ΝΙΚΟΛ</t>
  </si>
  <si>
    <t>ΑΑ027254</t>
  </si>
  <si>
    <t>ΓΟΥΣΙΑ ΒΑΣΙΛΙΚΗ</t>
  </si>
  <si>
    <t>Π445535</t>
  </si>
  <si>
    <t>ΓΡΑΙΚΟΥ ΑΜΑΛΙΑ</t>
  </si>
  <si>
    <t>ΑΙ050573</t>
  </si>
  <si>
    <t>ΓΡΑΜΜΑΤΙΚΟΠΟΥΛΟΥ ΙΩΣΗΦΙΝΑ</t>
  </si>
  <si>
    <t>Σ189494</t>
  </si>
  <si>
    <t>ΓΡΑΜΜΑΤΙΚΟΥ ΜΑΡΙΑ</t>
  </si>
  <si>
    <t>Τ214345</t>
  </si>
  <si>
    <t>ΓΡΑΜΜΑΤΟΠΟΥΛΟΣ ΣΤΑΥΡΟΣ</t>
  </si>
  <si>
    <t>ΑΚ573036</t>
  </si>
  <si>
    <t>ΓΡΑΜΜΕΝΟΣ ΑΛΕΞΑΝΔΡΟΣ</t>
  </si>
  <si>
    <t>ΑΝ324317</t>
  </si>
  <si>
    <t>ΓΡΑΜΜΕΝΟΣ ΓΕΩΡΓΙΟΣ ΓΡΗΓΟΡΙΟΣ</t>
  </si>
  <si>
    <t>Π907510</t>
  </si>
  <si>
    <t>ΓΡΑΜΟΖΗ ΕΛΕΝΗ</t>
  </si>
  <si>
    <t>Σ606934</t>
  </si>
  <si>
    <t xml:space="preserve">Γράψα Ελένη </t>
  </si>
  <si>
    <t>ΑΕ588878</t>
  </si>
  <si>
    <t>ΓΡΗΓΟΡΑΚΗ ΑΙΚΑΤΕΡΙΝΗ</t>
  </si>
  <si>
    <t>ΑΖ969586</t>
  </si>
  <si>
    <t>ΓΡΗΓΟΡΕΑ ΑΝΑΣΤΑΣΙΑ</t>
  </si>
  <si>
    <t>Ρ060709</t>
  </si>
  <si>
    <t>ΓΡΗΓΟΡΙΑΔΗΣ ΑΝΤΩΝΙΟΣ</t>
  </si>
  <si>
    <t>Χ723833</t>
  </si>
  <si>
    <t>ΑΜ298274</t>
  </si>
  <si>
    <t>ΓΡΗΓΟΡΙΑΔΗΣ ΗΛΙΑΣ</t>
  </si>
  <si>
    <t>ΑΖ821830</t>
  </si>
  <si>
    <t>ΓΡΗΓΟΡΙΑΔΗΣ ΘΕΟΔΩΡΟΣ</t>
  </si>
  <si>
    <t>ΑΕ817041</t>
  </si>
  <si>
    <t>ΓΡΗΓΟΡΙΑΔΗΣ ΚΩΝΣΤΑΝΤΙΝΟΣ</t>
  </si>
  <si>
    <t>ΑΗ301387</t>
  </si>
  <si>
    <t>ΓΡΗΓΟΡΙΑΔΟΥ ΜΑΡΙΑ</t>
  </si>
  <si>
    <t>ΑΜ265334</t>
  </si>
  <si>
    <t>ΓΡΗΓΟΡΙΑΔΟΥ ΧΡΥΣΗ</t>
  </si>
  <si>
    <t>ΑΗ812345</t>
  </si>
  <si>
    <t>ΓΡΗΓΟΡΙΟΥ ΑΝΑΣΤΑΣΙΑ</t>
  </si>
  <si>
    <t>Τ061309</t>
  </si>
  <si>
    <t>ΓΡΙΒΑ ΚΩΝΣΤΑΝΤΙΝΑ</t>
  </si>
  <si>
    <t>ΑΒ095426</t>
  </si>
  <si>
    <t>ΓΡΙΒΑ ΣΠΥΡΙΔΟΥΛΑ</t>
  </si>
  <si>
    <t>Τ239503</t>
  </si>
  <si>
    <t>ΓΡΙΒΑΣ ΝΙΚΟΛΑΟΣ</t>
  </si>
  <si>
    <t>ΑΑ288345</t>
  </si>
  <si>
    <t>ΔΗΜΟΣ ΒΟΛΒΗΣ</t>
  </si>
  <si>
    <t>ΓΡΙΜΑΝΗΣ ΔΗΜΗΤΡΙΟΣ</t>
  </si>
  <si>
    <t>Ν597154</t>
  </si>
  <si>
    <t>ΓΡΟΝΤΗ ΣΤΑΥΡΟΥΛΑ</t>
  </si>
  <si>
    <t>ΑΖ983554</t>
  </si>
  <si>
    <t>ΓΡΟΥΙΟΣ ΔΗΜΗΤΡΗΣ</t>
  </si>
  <si>
    <t>ΑΙ337939</t>
  </si>
  <si>
    <t>ΓΡΥΛΛΑΚΗΣ ΝΕΚΤΑΡΙΟΣ</t>
  </si>
  <si>
    <t>ΑΙ934118</t>
  </si>
  <si>
    <t>ΓΡΥΛΛΗ ΑΙΚΑΤΕΡΙΝΗ</t>
  </si>
  <si>
    <t>ΑΚ117959</t>
  </si>
  <si>
    <t>ΓΥΠΑΚΗ ΑΓΓΕΛΙΚΗ</t>
  </si>
  <si>
    <t>ΑΜ273783</t>
  </si>
  <si>
    <t>ΓΥΦΤΑΚΗΣ ΔΗΜΗΤΡΗΣ</t>
  </si>
  <si>
    <t>ΑΙ496058</t>
  </si>
  <si>
    <t>ΔΗΜΟΣ ΑΚΤΙΟΥ - ΒΟΝΙΤΣΑΣ</t>
  </si>
  <si>
    <t>ΓΥΦΤΟΔΗΜΟΥ ΠΑΝΑΓΙΩΤΑ</t>
  </si>
  <si>
    <t>ΑΙ068891</t>
  </si>
  <si>
    <t>ΓΩΓΟΥΛΟΣ ΚΩΝΣΤΑΝΤΙΝΟΣ</t>
  </si>
  <si>
    <t>Χ070985</t>
  </si>
  <si>
    <t>ΔΑΒΟΥΛΟΣ ΧΡΗΣΤΟΣ</t>
  </si>
  <si>
    <t>Μ548324</t>
  </si>
  <si>
    <t>ΔΑΒΡΗΣ ΓΕΩΡΓΙΟΣ</t>
  </si>
  <si>
    <t>ΘΕΜ</t>
  </si>
  <si>
    <t>Ξ481875</t>
  </si>
  <si>
    <t>ΔΑΓΛΑΣ ΓΕΩΡΓΙΟΣ</t>
  </si>
  <si>
    <t>ΑΒ275108</t>
  </si>
  <si>
    <t>ΔΑΚΤΥΛΑ ΔΗΜΗΤΡΑ</t>
  </si>
  <si>
    <t>Π349596</t>
  </si>
  <si>
    <t>ΔΑΚΤΥΛΙΔΗΣ ΦΡΑΓΚΙΣΚΟΣ</t>
  </si>
  <si>
    <t>Χ61140</t>
  </si>
  <si>
    <t>ΔΑΛΑΠΑ ΠΑΝΑΓΙΩΤΑ</t>
  </si>
  <si>
    <t>ΑΗ711889</t>
  </si>
  <si>
    <t>ΔΑΜΑΛΗ ΞΑΝΘΗ</t>
  </si>
  <si>
    <t>Ξ868176</t>
  </si>
  <si>
    <t>ΔΑΜΙΑΝΙΔΗΣ ΑΡΙΣΤΟΤΕΛΗΣ</t>
  </si>
  <si>
    <t>ΠΟΛ</t>
  </si>
  <si>
    <t>Π670840</t>
  </si>
  <si>
    <t>ΔΑΜΙΑΝΟΣ ΕΜΜΑΝΟΥΗΛ</t>
  </si>
  <si>
    <t>ΑΜ688980</t>
  </si>
  <si>
    <t>ΔΑΜΙΓΟΣ ΙΩΑΝΝΗΣ</t>
  </si>
  <si>
    <t>ΑΖ441091</t>
  </si>
  <si>
    <t>ΔΑΜΙΓΟΥ ΑΡΓΥΡΩ</t>
  </si>
  <si>
    <t>ΑΜ101157</t>
  </si>
  <si>
    <t>ΔΑΜΟΚΑΣ ΔΗΜΗΤΡΙΟΣ</t>
  </si>
  <si>
    <t>Σ650863</t>
  </si>
  <si>
    <t>ΔΑΜΟΥ ΒΑΙΑ</t>
  </si>
  <si>
    <t>ΑΒ361515</t>
  </si>
  <si>
    <t>ΔΑΜΟΥΛΙΑΝΟΥ ΠΑΡΑΣΚΕΥΟΥΛΑ</t>
  </si>
  <si>
    <t>Χ183916</t>
  </si>
  <si>
    <t>ΔΑΜΠΑΝΗ ΓΕΩΡΓΙΑ</t>
  </si>
  <si>
    <t>Σ519856</t>
  </si>
  <si>
    <t>ΔΑΜΩΝ ΘΕΟΔΩΡΑ</t>
  </si>
  <si>
    <t>ΑΚ982378</t>
  </si>
  <si>
    <t>ΔΑΝΔΟΥΛΑΚΗΣ ΓΕΩΡΓΙΟΣ</t>
  </si>
  <si>
    <t>Σ867147</t>
  </si>
  <si>
    <t>ΔΗΜΟΣ ΦΑΙΣΤΟΥ</t>
  </si>
  <si>
    <t>ΥΕ ΕΡΓΑΤΩΝ ΚΑΘΑΡΙΟΤΗΤΑΣ ΥΔΡΕΥΣΗΣ ΑΡΔΕΥΣΗΣ &amp; ΑΛΛΑΓΗΣ ΗΛΕΚΤΡΙΚΩΝ ΛΑΜΠΤΗΡΩΝ</t>
  </si>
  <si>
    <t>ΔΑΝΕΖΗΣ ΙΩΑΝΝΗΣ</t>
  </si>
  <si>
    <t>Φ472621</t>
  </si>
  <si>
    <t>ΔΑΝΕΙΛΟΠΟΥΛΟΥ ΜΑΡΙΑ</t>
  </si>
  <si>
    <t>Ρ593313</t>
  </si>
  <si>
    <t>ΔΑΝΙΗΛ ΒΙΚΤΩΡ</t>
  </si>
  <si>
    <t>ΑΙ523000</t>
  </si>
  <si>
    <t>Δανιηλ Ιωαννης</t>
  </si>
  <si>
    <t>Λου</t>
  </si>
  <si>
    <t>ΑΚ078393</t>
  </si>
  <si>
    <t>ΔΑΟΥΛΑ ΙΩΑΝΝΑ</t>
  </si>
  <si>
    <t>Ρ894823</t>
  </si>
  <si>
    <t>ΔΑΟΥΛΑ ΜΑΡΙΑ</t>
  </si>
  <si>
    <t>ΑΖ766333</t>
  </si>
  <si>
    <t>ΔΑΟΥΛΑ ΧΑΙΔΩ</t>
  </si>
  <si>
    <t>Ξ693790</t>
  </si>
  <si>
    <t>ΔΑΟΥΛΑΣ ΕΥΘΥΜΙΟΣ</t>
  </si>
  <si>
    <t>Ι766660</t>
  </si>
  <si>
    <t xml:space="preserve">ΔΑΡΑ ΒΑΣΙΛΙΚΗ </t>
  </si>
  <si>
    <t>ΑΚ359551</t>
  </si>
  <si>
    <t>ΔΗΜΟΣ ΓΟΡΤΥΝΙΑΣ ΑΡΚΑΔΙΑΣ</t>
  </si>
  <si>
    <t>ΥΕ ΕΡΓΑΤΩΝ ΑΠΟΚΟΜΙΔΗΣ ΑΠΟΡΡΙΜΜΑΤΩΝ</t>
  </si>
  <si>
    <t>ΔΑΡΑΜΟΥΣΚΑ ΓΕΩΡΓΙΑ</t>
  </si>
  <si>
    <t>ΑΕ700757</t>
  </si>
  <si>
    <t>ΔΑΡΑΤΣΑΚΗΣ ΜΙΧΑΗΛ</t>
  </si>
  <si>
    <t>ΑΖ976063</t>
  </si>
  <si>
    <t>ΔΑΡΒΙΡΑΣ ΑΡΓΥΡΙΟΣ</t>
  </si>
  <si>
    <t>ΑΜ313978</t>
  </si>
  <si>
    <t>ΔΑΡΔΑΛΗΣ ΗΛΙΑΣ</t>
  </si>
  <si>
    <t>Π234094</t>
  </si>
  <si>
    <t>ΔΑΡΔΑΝΟΥ ΚΩΝΣΤΑΝΤΙΝΑ</t>
  </si>
  <si>
    <t>ΑΚ574492</t>
  </si>
  <si>
    <t>ΔΑΡΜΗΣ ΦΡΑΓΚΙΣΚΟΣ</t>
  </si>
  <si>
    <t>Ρ382401</t>
  </si>
  <si>
    <t>ΥΕ ΕΡΓΑΤΩΝ ΥΔΡΕΥΣΗΣ (ΕΡΓΑΤΗΣ ΑΦΑΛΑΤΩΣΗΣ)</t>
  </si>
  <si>
    <t>ΔΑΣΚΑΛΑΚΗΣ ΧΡΥΣΑΝΘΟΣ</t>
  </si>
  <si>
    <t>Σ775734</t>
  </si>
  <si>
    <t>ΔΗΜΟΤΙΚΗ ΕΠΙΧΕΙΡΗΣΗ ΥΔΡΕΥΣΗΣ - ΑΠΟΧΕΤΕΥΣΗΣ (Δ.Ε.Υ.Α.) ΚΥΠΑΡΙΣΣΙΑΣ ΔΗΜΟΥ ΤΡΙΦΥΛΙΑΣ</t>
  </si>
  <si>
    <t>ΔΑΦΕΡΕΡΑ ΜΑΡΙΑ</t>
  </si>
  <si>
    <t>ΑΖ443969</t>
  </si>
  <si>
    <t>ΔΕΔΕΣ ΜΕΛΕΤΙΟΣ</t>
  </si>
  <si>
    <t>ΑΖ225742</t>
  </si>
  <si>
    <t>Δεδεψιδου Φραντζεσκα</t>
  </si>
  <si>
    <t>ΑΚ592587</t>
  </si>
  <si>
    <t>ΔΕΛΗ ΧΑΣΑΝ ΑΛΗ ΙΡΦΑΝ</t>
  </si>
  <si>
    <t>ΑΜΕ</t>
  </si>
  <si>
    <t>ΑΗ372043</t>
  </si>
  <si>
    <t>ΔΕΛΗΒΑΝΗ ΒΑΙΑ</t>
  </si>
  <si>
    <t>Π181102</t>
  </si>
  <si>
    <t>ΔΕΛΗΓΙΑΝΝΑΚΗΣ ΙΩΑΝΝΗΣ</t>
  </si>
  <si>
    <t>ΑΗ780394</t>
  </si>
  <si>
    <t>ΔΕΛΗΓΙΑΝΝΗ ΕΥΘΥΜΙΑ</t>
  </si>
  <si>
    <t>ΑΚ990653</t>
  </si>
  <si>
    <t>ΔΕΛΗΓΙΑΝΝΗ ΜΑΡΙΑ</t>
  </si>
  <si>
    <t>ΑΜ783699</t>
  </si>
  <si>
    <t>ΔΕΛΗΘΕΟΔΩΡΟΥ ΑΝΑΣΤΑΣΙΑ</t>
  </si>
  <si>
    <t>ΑΕ668544</t>
  </si>
  <si>
    <t>ΔΕΛΗΡΟΓΛΟΥ ΕΛΕΥΘΕΡΙΑ</t>
  </si>
  <si>
    <t>Τ210651</t>
  </si>
  <si>
    <t>ΔΕΛΙΤΖΑΚΙΣ ΧΡΗΣΤΟΣ</t>
  </si>
  <si>
    <t>ΑΝ395555</t>
  </si>
  <si>
    <t>ΔΕΛΚΟΣ ΝΙΚΟΛΑΟΣ</t>
  </si>
  <si>
    <t>ΑΗ305196</t>
  </si>
  <si>
    <t>ΔΗΜΟΣ ΠΡΕΣΠΩΝ ΦΛΩΡΙΝΑΣ</t>
  </si>
  <si>
    <t>ΔΕΛΚΟΥΣΗ ΑΡΧΟΝΤΑ</t>
  </si>
  <si>
    <t>ΖΗΣ</t>
  </si>
  <si>
    <t>ΑΙ879349</t>
  </si>
  <si>
    <t>ΔΕΛΛΙΟΣ ΗΛΙΑΣ</t>
  </si>
  <si>
    <t>Χ748797</t>
  </si>
  <si>
    <t>ΔΕΛΛΙΟΣ ΘΕΟΔΩΡΟΣ</t>
  </si>
  <si>
    <t>ΑΙ339244</t>
  </si>
  <si>
    <t>ΥΕ ΕΡΓΑΤΩΝ ΥΔΡΕΥΣΗΣ ΑΠΟΧΕΤΕΥΣΗΣ</t>
  </si>
  <si>
    <t>ΔΕΛΛΙΟΥ ΣΟΦΙΑ</t>
  </si>
  <si>
    <t>ΑΙ154952</t>
  </si>
  <si>
    <t>ΔΕΛΛΙΟΥ ΣΤΕΦΑΝΙΑ</t>
  </si>
  <si>
    <t>Χ244141</t>
  </si>
  <si>
    <t>ΔΕΛΟΓΛΟΥ ΣΕΡΑΦΕΙΜ</t>
  </si>
  <si>
    <t>Ρ508276</t>
  </si>
  <si>
    <t>ΔΕΜΕΡΤΖΗ ΒΑΡΒΑΡΑ</t>
  </si>
  <si>
    <t>ΑΗ119913</t>
  </si>
  <si>
    <t>ΔΕΜΕΡΤΖΗ ΔΗΜΗΤΡΑ</t>
  </si>
  <si>
    <t>ΑΒ894233</t>
  </si>
  <si>
    <t>ΔΕΜΕΡΤΖΙΔΗΣ ΕΜΜΑΝΟΥΗΛ</t>
  </si>
  <si>
    <t>ΑΙ334960</t>
  </si>
  <si>
    <t>ΔΗΜΟΣ ΚΑΣΤΟΡΙΑΣ ΚΑΣΤΟΡΙΑΣ</t>
  </si>
  <si>
    <t>ΔΕΜΕΣΤΙΧΑΣ ΓΡΗΓΟΡΗΣ</t>
  </si>
  <si>
    <t>ΑΗ574354</t>
  </si>
  <si>
    <t>ΔΕΜΙΡΤΣΟΓΛΗΣ ΙΩΑΝΝΗΣ</t>
  </si>
  <si>
    <t>ΑΜ505194</t>
  </si>
  <si>
    <t>ΔΕΝΕΖΑΚΗΣ ΘΕΟΔΩΡΟΣ</t>
  </si>
  <si>
    <t>ΑΙ972927</t>
  </si>
  <si>
    <t>ΔΕΝΗΣ ΔΗΜΗΤΡΙΟΣ</t>
  </si>
  <si>
    <t>ΑΖ318353</t>
  </si>
  <si>
    <t xml:space="preserve">ΔΕΡΒΕΝΗ ΕΛΕΝΗ </t>
  </si>
  <si>
    <t>ΑΗ057258</t>
  </si>
  <si>
    <t>ΔΕΡΒΙΣΗΣ ΧΡΗΣΤΟΣ</t>
  </si>
  <si>
    <t>ΑΙ856370</t>
  </si>
  <si>
    <t>ΔΕΡΜΑΤΙΔΗΣ ΑΝΑΣΤΑΣΙΟΣ</t>
  </si>
  <si>
    <t>ΑΗ802833</t>
  </si>
  <si>
    <t>ΔΕΣΥΛΛΑ ΙΟΥΛΙΑ</t>
  </si>
  <si>
    <t>ΣΠΗ</t>
  </si>
  <si>
    <t>Μ529687</t>
  </si>
  <si>
    <t>ΔΕΣΥΛΛΑΣ ΚΩΣΤΑΝΤΙΝΟΣ</t>
  </si>
  <si>
    <t>ΑΖ759453</t>
  </si>
  <si>
    <t>ΔΕΤΣΙΚΑ ΕΛΕΝΗ</t>
  </si>
  <si>
    <t>Μ677195</t>
  </si>
  <si>
    <t>ΔΗΛΑΡΗ ΕΛΕΝΗ</t>
  </si>
  <si>
    <t>ΑΖ715708</t>
  </si>
  <si>
    <t>ΔΗΜΑ ΜΑΡΙΑ</t>
  </si>
  <si>
    <t>ΑΜ097077</t>
  </si>
  <si>
    <t>ΔΗΜΑ ΧΡΙΣΤΙΝΑ</t>
  </si>
  <si>
    <t>ΑΙ097669</t>
  </si>
  <si>
    <t>ΔΗΜΑΚΑΚΟΣ ΓΕΩΡΓΙΟΣ</t>
  </si>
  <si>
    <t>ΑΒ402304</t>
  </si>
  <si>
    <t>ΔΗΜΑΚΗ ΒΑΣΙΛΙΚΗ</t>
  </si>
  <si>
    <t>ΑΚ421838</t>
  </si>
  <si>
    <t>ΔΗΜΑΚΗ ΣΟΦΙΑ</t>
  </si>
  <si>
    <t>ΑΙ984637</t>
  </si>
  <si>
    <t>ΔΗΜΗΝΑΚΗ ΔΗΜΗΤΡΑ</t>
  </si>
  <si>
    <t>ΑΖ185588</t>
  </si>
  <si>
    <t>ΔΗΜΗΤΡΑΙΝΑ ΣΤΑΥΡΟΥΛΑ</t>
  </si>
  <si>
    <t>Ρ811108</t>
  </si>
  <si>
    <t>ΥΕ ΕΡΓΑΤΩΝ ΚΑΘΑΡΙΟΤΗΤΑΣ (ΧΕΙΡΩΝΑΚΤΕΣ)</t>
  </si>
  <si>
    <t>ΔΗΜΗΤΡΑΚΑΚΗ ΕΛΕΝΗ</t>
  </si>
  <si>
    <t>ΑΖ971886</t>
  </si>
  <si>
    <t>ΔΗΜΗΤΡΑΚΗ  ΕΥΘΑΛΙΑ</t>
  </si>
  <si>
    <t>Σ209566</t>
  </si>
  <si>
    <t>ΔΗΜΗΤΡΑΚΗΣ ΑΝΑΣΤΑΣΙΟΣ</t>
  </si>
  <si>
    <t>Χ892239</t>
  </si>
  <si>
    <t>ΔΗΜΗΤΡΑΚΟΠΟΥΛΟΣ ΗΛΙΑΣ</t>
  </si>
  <si>
    <t>Χ936936</t>
  </si>
  <si>
    <t>ΔΗΜΗΤΡΑΚΟΠΟΥΛΟΥ ΕΥΓΕΝΙΑ</t>
  </si>
  <si>
    <t>Π480986</t>
  </si>
  <si>
    <t>Δημητρασκος Μιχαλης</t>
  </si>
  <si>
    <t>ΑΙ537062</t>
  </si>
  <si>
    <t>ΔΗΜΗΤΡΙΑΔΗ ΜΑΡΙΑ</t>
  </si>
  <si>
    <t>ΑΙ827702</t>
  </si>
  <si>
    <t>ΔΗΜΗΤΡΙΑΔΗΣ ΚΩΝΣΤΑΝΤΙΝΟΣ</t>
  </si>
  <si>
    <t>ΑΗ384657</t>
  </si>
  <si>
    <t>ΔΗΜΗΤΡΙΑΔΟΥ ΕΛΕΝΗ</t>
  </si>
  <si>
    <t>ΑΗ376566</t>
  </si>
  <si>
    <t>ΔΗΜΗΤΡΙΑΔΟΥ ΕΥΘΑΛΙΑ</t>
  </si>
  <si>
    <t>Σ481188</t>
  </si>
  <si>
    <t>ΔΗΜΗΤΡΙΑΔΟΥ ΣΟΦΙΑ</t>
  </si>
  <si>
    <t>Χ369521</t>
  </si>
  <si>
    <t>ΔΗΜΗΤΡΙΑΔΟΥ ΣΤΥΛΙΑΝΗ</t>
  </si>
  <si>
    <t>ΑΖ679208</t>
  </si>
  <si>
    <t>ΔΗΜΗΤΡΙΑΔΟΥ ΣΩΤΗΡΙΑ</t>
  </si>
  <si>
    <t>Τ452919</t>
  </si>
  <si>
    <t>ΔΗΜΗΤΡΙΟΥ ΑΘΑΝΑΣΙΟΣ</t>
  </si>
  <si>
    <t>Ν840486</t>
  </si>
  <si>
    <t>ΔΗΜΗΤΡΙΟΥ ΑΙΚΑΤΕΡΙΝΗ</t>
  </si>
  <si>
    <t>ΑΖ134840</t>
  </si>
  <si>
    <t>ΔΗΜΗΤΡΙΟΥ ΒΑΡΒΑΡΑ</t>
  </si>
  <si>
    <t>ΑΙ977117</t>
  </si>
  <si>
    <t>ΔΗΜΟΣ ΛΑΜΙΕΩΝ</t>
  </si>
  <si>
    <t>ΔΗΜΗΤΡΙΟΥ ΚΩΝΣΤΑΝΤΙΝΟΣ</t>
  </si>
  <si>
    <t>ΑΙ341909</t>
  </si>
  <si>
    <t>ΔΗΜΟΣ ΣΚΥΔΡΑΣ ΠΕΛΛΑΣ</t>
  </si>
  <si>
    <t>Σ102779</t>
  </si>
  <si>
    <t>ΔΗΜΗΤΡΙΟΥ ΛΕΩΝΙΔΑΣ</t>
  </si>
  <si>
    <t>ΛΟΥ</t>
  </si>
  <si>
    <t>ΑΙ493523</t>
  </si>
  <si>
    <t>ΔΗΜΟΣ ΤΑΝΑΓΡΑΣ ΒΟΙΩΤΙΑΣ</t>
  </si>
  <si>
    <t>ΔΗΜΗΤΡΙΟΥ ΜΑΡΙΑ</t>
  </si>
  <si>
    <t>ΑΖ663842</t>
  </si>
  <si>
    <t>ΔΗΜΗΤΡΙΟΥ ΝΙΚΟΛΑΟΣ</t>
  </si>
  <si>
    <t>ΑΖ805004</t>
  </si>
  <si>
    <t>ΔΗΜΗΤΡΙΟΥ ΠΑΡΑΣΚΕΥΗ</t>
  </si>
  <si>
    <t>ΟΔΥ</t>
  </si>
  <si>
    <t>ΑΜ816900</t>
  </si>
  <si>
    <t>ΔΗΜΗΤΡΙΟΥ ΣΠΥΡΙΔΩΝ</t>
  </si>
  <si>
    <t>ΑΜ994683</t>
  </si>
  <si>
    <t>ΔΗΜΟΣ ΛΕΒΑΔΕΩΝ ΒΟΙΩΤΙΑΣ</t>
  </si>
  <si>
    <t>ΔΗΜΗΤΡΙΟΥ ΣΤΑΥΡΟΣ</t>
  </si>
  <si>
    <t>ΑΖ313340</t>
  </si>
  <si>
    <t>ΔΗΜΗΤΡΟΠΟΥΛΟΣ ΔΙΟΝΥΣΙΟΣ</t>
  </si>
  <si>
    <t>ΑΖ731812</t>
  </si>
  <si>
    <t>ΔΗΜΗΤΡΟΠΟΥΛΟΣ ΠΟΛΥΧΡΟΝΗΣ</t>
  </si>
  <si>
    <t>Ρ818019</t>
  </si>
  <si>
    <t>ΔΗΜΟΣ ΑΝΔΡΙΤΣΑΙΝΑΣ - ΚΡΕΣΤΕΝΩΝ</t>
  </si>
  <si>
    <t>ΔΗΜΗΤΡΟΠΟΥΛΟΥ ΙΩΑΝΝΑ</t>
  </si>
  <si>
    <t>ΔΙΑ</t>
  </si>
  <si>
    <t>Χ338795</t>
  </si>
  <si>
    <t>ΥΕ ΕΡΓΑΤΩΝ ΥΔΡΕΥΣΗΣ-ΑΠΟΧΕΤΕΥΣΗΣ</t>
  </si>
  <si>
    <t>ΔΗΜΗΤΡΟΠΟΥΛΟΥ ΠΑΝΑΓΙΩΤΑ</t>
  </si>
  <si>
    <t>ΑΒ395123</t>
  </si>
  <si>
    <t>ΔΗΜΗΤΡΟΠΟΥΛΟΥ ΣΤΑΜΑΤΑ</t>
  </si>
  <si>
    <t>Χ938321</t>
  </si>
  <si>
    <t>ΔΗΜΗΤΡΟΠΟΥΛΟΥ ΣΩΤΗΡΙΑ</t>
  </si>
  <si>
    <t>Τ962103</t>
  </si>
  <si>
    <t>ΔΗΜΗΤΡΟΥΛΑ ΜΑΡΙΑ</t>
  </si>
  <si>
    <t>ΑΜ104822</t>
  </si>
  <si>
    <t>ΔΗΜΗΤΡΟΥΛΑΚΗ ΜΑΡΙΑ</t>
  </si>
  <si>
    <t>ΑΙ050227</t>
  </si>
  <si>
    <t>ΔΗΜΗΤΣΑ ΓΕΩΡΓΙΑ</t>
  </si>
  <si>
    <t>ΑΒ411282</t>
  </si>
  <si>
    <t>ΔΗΜΚΑ ΜΑΡΙΑ</t>
  </si>
  <si>
    <t>ΑΗ811632</t>
  </si>
  <si>
    <t>ΔΗΜΚΟΥ ΠΑΡΑΣΚΕΥΗ</t>
  </si>
  <si>
    <t>ΑΒ836272</t>
  </si>
  <si>
    <t>ΔΗΜΟΠΟΥΛΟΣ ΑΓΓΕΛΟΣ</t>
  </si>
  <si>
    <t>Χ428157</t>
  </si>
  <si>
    <t>ΔΗΜΟΠΟΥΛΟΣ ΑΓΓΕΛΟΣ-ΝΙΚΟΛΑΟΣ</t>
  </si>
  <si>
    <t>Ρ923637</t>
  </si>
  <si>
    <t>ΔΗΜΟΠΟΥΛΟΣ ΑΝΑΣΤΑΣΙΟΣ</t>
  </si>
  <si>
    <t>ΑΕ241355</t>
  </si>
  <si>
    <t>ΔΗΜΟΠΟΥΛΟΣ ΓΕΩΡΓΙΟΣ</t>
  </si>
  <si>
    <t>ΑΙ526374</t>
  </si>
  <si>
    <t>ΔΗΜΟΠΟΥΛΟΥ ΑΓΓΕΛΙΚΗ</t>
  </si>
  <si>
    <t>Χ840276</t>
  </si>
  <si>
    <t>ΔΗΜΟΠΟΥΛΟΥ ΕΙΡΗΝΗ</t>
  </si>
  <si>
    <t>ΑΜ701282</t>
  </si>
  <si>
    <t>ΔΗΜΟΠΟΥΛΟΥ ΕΥΑΓΓΕΛΙΑ</t>
  </si>
  <si>
    <t>ΑΕ038586</t>
  </si>
  <si>
    <t>ΔΗΜΟΠΟΥΛΟΥ ΚΩΝΣΤΑΝΤΙΝΑ</t>
  </si>
  <si>
    <t>Π975387</t>
  </si>
  <si>
    <t>ΔΗΜΟΤΙΚΗ ΕΠΙΧΕΙΡΗΣΗ ΥΔΡΕΥΣΗΣ - ΑΠΟΧΕΤΕΥΣΗΣ (Δ.Ε.Υ.Α.) ΔΗΜΟΥ ΣΕΡΡΩΝ</t>
  </si>
  <si>
    <t>ΔΗΜΟΠΟΥΛΟΥ ΜΑΡΙΑ</t>
  </si>
  <si>
    <t>Σ078136</t>
  </si>
  <si>
    <t>ΔΗΜΟΠΟΥΛΟΥ ΜΑΡΚΕΛΛΑ</t>
  </si>
  <si>
    <t>ΑΜ043902</t>
  </si>
  <si>
    <t>ΔΗΜΟΠΟΥΛΟΥ ΦΩΤΕΙΝΗ</t>
  </si>
  <si>
    <t>ΑΕ557158</t>
  </si>
  <si>
    <t>ΔΗΜΟΠΟΥΛΟΥ ΧΡΙΣΤΙΝΑ</t>
  </si>
  <si>
    <t>ΑΙ337955</t>
  </si>
  <si>
    <t>ΔΗΜΟΣΘΕΝΗΣ ΝΟΥΣΙΑΣ</t>
  </si>
  <si>
    <t>ΑΙ312362</t>
  </si>
  <si>
    <t xml:space="preserve">ΔΗΜΟΥ ΓΛΥΚΕΡΙΑ </t>
  </si>
  <si>
    <t>Τ475799</t>
  </si>
  <si>
    <t>ΥΕ ΕΡΓΑΤΗΣ ΟΔΟΚΑΘΑΡΙΣΤΗΣ</t>
  </si>
  <si>
    <t>ΔΗΜΟΥ ΔΗΜΗΤΡΙΟΣ</t>
  </si>
  <si>
    <t>Σ839282</t>
  </si>
  <si>
    <t>ΔΗΜΟΤΙΚΗ ΕΠΙΧΕΙΡΗΣΗ ΥΔΡΕΥΣΗΣ ΚΑΙ ΑΠΟΧΕΤΕΥΣΗΣ (Δ.Ε.Υ.Α.) ΧΑΛΚΙΔΑΣ "ΑΡΕΘΟΥΣΑ"</t>
  </si>
  <si>
    <t>ΔΗΜΟΥ ΤΙΜΟΛΕΩΝ</t>
  </si>
  <si>
    <t>ΑΙ304234</t>
  </si>
  <si>
    <t>ΔΗΜΟΥ ΧΡΙΣΤΙΝΑ</t>
  </si>
  <si>
    <t>ΑΜ853507</t>
  </si>
  <si>
    <t>ΔΗΜΟΥ  ΜΑΡΙΑ</t>
  </si>
  <si>
    <t>ΑΜ824190</t>
  </si>
  <si>
    <t>ΔΗΜΟΥΛΑ ΕΥΑΓΓΕΛΙΑ</t>
  </si>
  <si>
    <t>Π511528</t>
  </si>
  <si>
    <t>ΔΗΜΤΣΙΟΥ ΜΑΡΓΑΡΙΤΑ</t>
  </si>
  <si>
    <t>ΑΙ902895</t>
  </si>
  <si>
    <t>ΔΙΑΚΑΝΤΩΝΗΣ ΚΩΝΣΤΑΝΤΙΝΟΣ</t>
  </si>
  <si>
    <t>ΑΜ951777</t>
  </si>
  <si>
    <t>ΔΙΑΚΟΡΩΝΑΣ ΕΜΜΑΝΟΥΗΛ</t>
  </si>
  <si>
    <t>ΑΜ551938</t>
  </si>
  <si>
    <t>ΔΙΑΚΟΣΑΒΒΑΚΗ ΜΑΡΙΑ</t>
  </si>
  <si>
    <t>ΑΕ684667</t>
  </si>
  <si>
    <t>ΔΙΑΚΟΥΤΡΟΥ ΑΝΑΣΤΑΣΙΑ</t>
  </si>
  <si>
    <t>Ξ241669</t>
  </si>
  <si>
    <t>ΔΙΑΜΑΝΤΗ ΑΘΑΝΑΣΙΑ</t>
  </si>
  <si>
    <t>Φ047594</t>
  </si>
  <si>
    <t>ΔΙΑΜΑΝΤΗΣ ΝΙΚΟΛΑΟΣ</t>
  </si>
  <si>
    <t>ΑΝ704636</t>
  </si>
  <si>
    <t>ΔΙΑΜΑΝΤΗΣ ΠΑΥΛΟΣ</t>
  </si>
  <si>
    <t>Ρ842093</t>
  </si>
  <si>
    <t>ΔΗΜΟΣ ΚΟΝΙΤΣΑΣ ΙΩΑΝΝΙΝΩΝ</t>
  </si>
  <si>
    <t>ΔΙΑΜΑΝΤΙΔΟΥ ΑΛΕΞΑΝΔΡΑ</t>
  </si>
  <si>
    <t>ΑΒ448169</t>
  </si>
  <si>
    <t>ΔΙΑΜΑΝΤΟΠΟΥΛΟΣ ΓΕΩΡΓΙΟΣ</t>
  </si>
  <si>
    <t>ΑΛΚ</t>
  </si>
  <si>
    <t>Ν253959</t>
  </si>
  <si>
    <t>ΑΜ749165</t>
  </si>
  <si>
    <t>ΔΙΑΜΑΝΤΟΠΟΥΛΟΥ ΙΩΑΝΝΑ</t>
  </si>
  <si>
    <t>ΑΒ330848</t>
  </si>
  <si>
    <t>Σ848225</t>
  </si>
  <si>
    <t>ΔΙΑΜΑΝΤΟΠΟΥΛΟΥ ΠΑΝΑΓΙΩΤΑ</t>
  </si>
  <si>
    <t>ΑΑ361717</t>
  </si>
  <si>
    <t>ΔΙΒΑΝΗ ΔΕΣΠΟΙΝΑ</t>
  </si>
  <si>
    <t>Χ926472</t>
  </si>
  <si>
    <t>ΔΙΓΑΛΑΚΗ ΘΕΟΔΩΡΑ</t>
  </si>
  <si>
    <t>Ρ954148</t>
  </si>
  <si>
    <t>ΔΙΓΕΝΑΚΗΣ ΓΕΩΡΓΙΟΣ</t>
  </si>
  <si>
    <t>ΑΖ977636</t>
  </si>
  <si>
    <t>ΔΙΜΠΙΤΟΥΛΗΣ ΑΓΓΕΛΟΣ</t>
  </si>
  <si>
    <t>ΣΟΛ</t>
  </si>
  <si>
    <t>ΑΚ276452</t>
  </si>
  <si>
    <t>ΔΙΟΛΑΤΖΗΣ ΑΘΑΝΑΣΙΟΣ</t>
  </si>
  <si>
    <t>ΑΕ324672</t>
  </si>
  <si>
    <t>ΔΙΟΜΗΣ ΚΩΝΣΤΑΝΤΙΝΟΣ</t>
  </si>
  <si>
    <t>Π547423</t>
  </si>
  <si>
    <t>ΔΙΟΝΥΣΙΟΥ ΔΗΜΗΤΡΙΟΣ</t>
  </si>
  <si>
    <t>ΜΟΝ</t>
  </si>
  <si>
    <t>Τ956219</t>
  </si>
  <si>
    <t>ΔΙΟΝΥΣΟΠΟΥΛΟΣ ΝΙΚΟΛΑΟΣ</t>
  </si>
  <si>
    <t>Ρ881386</t>
  </si>
  <si>
    <t>ΔΙΣΕΡΗΣ ΕΥΑΓΓΕΛΟΣ</t>
  </si>
  <si>
    <t>ΑΜ692972</t>
  </si>
  <si>
    <t>ΔΟΒΛΕΤΗ ΓΕΩΡΓΙΑ</t>
  </si>
  <si>
    <t>ΑΑ048398</t>
  </si>
  <si>
    <t>ΔΟΒΛΕΤΗ ΠΑΝΩΡΑΙΑ</t>
  </si>
  <si>
    <t>ΑΒ572450</t>
  </si>
  <si>
    <t>ΔΟΒΛΕΤΟΓΛΟΥ ΑΓΓΕΛΙΚΗ</t>
  </si>
  <si>
    <t>Τ813793</t>
  </si>
  <si>
    <t>ΔΟΛΑΨΑΚΗΣ ΛΑΜΠΡΟΣ</t>
  </si>
  <si>
    <t>ΑΜ467354</t>
  </si>
  <si>
    <t>ΔΟΛΒΕΤΗ ΑΘΗΝΑ</t>
  </si>
  <si>
    <t>Ρ048517</t>
  </si>
  <si>
    <t>ΔΟΜΠΑΖΑ ΧΡΥΣΟΥΛΑ</t>
  </si>
  <si>
    <t>ΑΚ257108</t>
  </si>
  <si>
    <t>ΔΟΞΑ ΚΩΝΣΤΑΝΤΙΝΑ</t>
  </si>
  <si>
    <t>ΑΚ750617</t>
  </si>
  <si>
    <t>ΥΕ ΝΥΧΤΟΦΥΛΑΚΩΝ</t>
  </si>
  <si>
    <t>ΔΟΞΑΚΗΣ ΜΙΧΑΗΛ</t>
  </si>
  <si>
    <t>ΕΥΤ</t>
  </si>
  <si>
    <t>ΑΗ154345</t>
  </si>
  <si>
    <t>ΔΟΡΜΟΥΖ ΧΑΛΗΛ</t>
  </si>
  <si>
    <t>ΑΜ503660</t>
  </si>
  <si>
    <t>ΔΟΣΗ ΚΩΝΣΤΑΝΤΙΝΑ</t>
  </si>
  <si>
    <t>ΑΖ245873</t>
  </si>
  <si>
    <t>ΔΟΥΒΙΚΑ ΕΛΕΝΗ</t>
  </si>
  <si>
    <t>ΑΙ799309</t>
  </si>
  <si>
    <t>ΔΟΥΒΛΟΣ ΘΩΜΑΣ</t>
  </si>
  <si>
    <t>ΑΖ820967</t>
  </si>
  <si>
    <t>ΔΟΥΓΚΑ ΠΟΛΥΞΕΝΗ</t>
  </si>
  <si>
    <t>ΑΒ868465</t>
  </si>
  <si>
    <t>ΔΟΥΚΑ ΣΥΡΜΑΓΙΩ</t>
  </si>
  <si>
    <t>ΔΟΥ</t>
  </si>
  <si>
    <t>Φ011079</t>
  </si>
  <si>
    <t>ΔΟΥΚΕΛΛΗ ΜΑΡΙΑ</t>
  </si>
  <si>
    <t>ΑΗ924829</t>
  </si>
  <si>
    <t>ΔΟΥΛΑ ΜΑΡΙΑ</t>
  </si>
  <si>
    <t>Χ334641</t>
  </si>
  <si>
    <t>ΔΟΥΛΑΣ ΚΩΝΣΤΑΝΤΙΝΟΣ</t>
  </si>
  <si>
    <t>ΑΒ389149</t>
  </si>
  <si>
    <t>ΔΟΥΛΓΕΡΗΣ ΔΗΜΗΤΡΙΟΣ</t>
  </si>
  <si>
    <t>ΑΜ290661</t>
  </si>
  <si>
    <t>ΔΟΥΛΟΥ ΚΑΛΛΙΟΠΗ</t>
  </si>
  <si>
    <t>Μ538517</t>
  </si>
  <si>
    <t>ΔΟΥΝΑ ΕΛΕΝΗ</t>
  </si>
  <si>
    <t>ΑΒ687504</t>
  </si>
  <si>
    <t>ΔΟΥΡΜΟΥΣΗΣ ΔΗΜΗΤΡΙΟΣ</t>
  </si>
  <si>
    <t>ΑΚ051901</t>
  </si>
  <si>
    <t>ΔΟΥΡΟΣ ΑΛΕΞΙΟΣ</t>
  </si>
  <si>
    <t>ΑΚ812366</t>
  </si>
  <si>
    <t>ΔΟΥΡΟΥΝΤΟΥΔΑΚΗΣ ΘΕΟΧΑΡΗΣ</t>
  </si>
  <si>
    <t>ΙΩΣ</t>
  </si>
  <si>
    <t>Ν967715</t>
  </si>
  <si>
    <t>ΔΗΜΟΤΙΚΗ EΠΙΧΕΙΡΗΣΗ ΥΔΡΕΥΣΗΣ ΑΠΟΧΕΤΕΥΣΗΣ ΒΟΡΕΙΟΥ ΑΞΟΝΑ ΝΟΜΟΥ ΧΑΝΙΩΝ (Δ.Ε.Υ.Α.Β.Α.)</t>
  </si>
  <si>
    <t>ΔΡΑΓΚΑ ΖΩΗ</t>
  </si>
  <si>
    <t>Χ731090</t>
  </si>
  <si>
    <t>ΔΡΑΓΚΟΛΑΣ ΑΝΑΣΤΑΣΙΟΣ</t>
  </si>
  <si>
    <t>Ξ632880</t>
  </si>
  <si>
    <t>ΔΡΑΓΩΓΙΑΣ ΕΜΜΑΝΟΥΗΛ</t>
  </si>
  <si>
    <t>ΑΝ346729</t>
  </si>
  <si>
    <t>ΔΡΑΚΑΚΗΣ ΝΙΚΟΛΑΟΣ</t>
  </si>
  <si>
    <t>ΑΜ482370</t>
  </si>
  <si>
    <t>ΔΡΑΚΟΝΤΑΕΙΔΗ ΔΕΣΠΟΙΝΑ</t>
  </si>
  <si>
    <t>ΑΒ769413</t>
  </si>
  <si>
    <t>ΔΡΑΚΟΣ ΠΑΡΑΣΚΕΥΑΣ</t>
  </si>
  <si>
    <t>Ξ687172</t>
  </si>
  <si>
    <t>ΔΡΑΚΟΥ ΑΓΓΕΛΙΚΗ</t>
  </si>
  <si>
    <t>ΑΗ066481</t>
  </si>
  <si>
    <t>ΔΡΑΚΟΥ ΕΡΑΣΜΙΑ</t>
  </si>
  <si>
    <t>Ν918545</t>
  </si>
  <si>
    <t>ΔΡΑΚΩΤΟΥ ΕΥΣΤΑΘΙΑ</t>
  </si>
  <si>
    <t>ΑΙ005747</t>
  </si>
  <si>
    <t>ΔΡΑΜΙΤΙΝΟΥ ΚΑΛΛΙΟΠΗ</t>
  </si>
  <si>
    <t>ΑΙ093826</t>
  </si>
  <si>
    <t>ΔΗΜΟΣ ΑΓΙΑΣ ΒΑΡΒΑΡΑΣ ΑΘΗΝΩΝ</t>
  </si>
  <si>
    <t>ΥΕ ΟΔΟΚΑΘΑΡΙΣΤΩΝ</t>
  </si>
  <si>
    <t>ΔΡΑΜΠΑΛΗΣ ΓΕΩΡΓΙΟΣ</t>
  </si>
  <si>
    <t>ΑΕ902228</t>
  </si>
  <si>
    <t>ΔΡΕΜΕΤΣΙΚΑ ΔΗΜΗΤΡΑ</t>
  </si>
  <si>
    <t>Ν448377</t>
  </si>
  <si>
    <t>ΔΡΙΒΑ ΑΙΚΑΤΕΡΙΝΗ</t>
  </si>
  <si>
    <t>Τ390526</t>
  </si>
  <si>
    <t>ΔΡΙΒΗΛΑ ΑΙΚΑΤΕΡΙΝΗ</t>
  </si>
  <si>
    <t>ΑΑ086579</t>
  </si>
  <si>
    <t>ΔΡΙΜΥΤΑΚΗ ΔΕΣΠΟΙΝΑ</t>
  </si>
  <si>
    <t>ΑΗ637301</t>
  </si>
  <si>
    <t>ΔΡΙΣΤΑΡΗ ΕΙΡΗΝΗ</t>
  </si>
  <si>
    <t>ΑΜ423747</t>
  </si>
  <si>
    <t>ΔΡΟΓΩΣΗ ΔΗΜΗΤΡΑ</t>
  </si>
  <si>
    <t>Π610236</t>
  </si>
  <si>
    <t>ΔΡΟΣΑΛΑΚΗ ΠΑΝΑΓΙΩΤΑ</t>
  </si>
  <si>
    <t>ΑΙ150879</t>
  </si>
  <si>
    <t>ΔΡΟΣΙΝΟΥ ΓΕΩΡΓΙΑ</t>
  </si>
  <si>
    <t>ΑΗ040774</t>
  </si>
  <si>
    <t>ΔΡΟΣΟΣ ΜΗΝΑΣ</t>
  </si>
  <si>
    <t>ΑΝ947447</t>
  </si>
  <si>
    <t>ΔΡΟΥΓΑΣ ΝΙΚΟΛΑΟΣ</t>
  </si>
  <si>
    <t>ΑΒ792454</t>
  </si>
  <si>
    <t>ΔΡΟΥΛΙΑΣ ΚΩΝΣΤΑΝΤΝΟΣ</t>
  </si>
  <si>
    <t>ΑΒ257922</t>
  </si>
  <si>
    <t>ΔΡΟΥΜΕΤΣΙΚΑ ΑΝΤΩΝΙΑ</t>
  </si>
  <si>
    <t>ΑΖ701932</t>
  </si>
  <si>
    <t>ΔΩΝΗ ΒΑΣΙΛΙΚΗ</t>
  </si>
  <si>
    <t>ΑΗ860467</t>
  </si>
  <si>
    <t>ΔΩΡΟΔΟΥΛΗΣ ΔΗΜΟΣΘΕΝΗΣ</t>
  </si>
  <si>
    <t>ΑΒ692869</t>
  </si>
  <si>
    <t>ΔΩΡΟΠΟΥΛΟΣ ΜΙΛΤΙΑΔΗΣ</t>
  </si>
  <si>
    <t>ΠΕΛ</t>
  </si>
  <si>
    <t>ΑΗ050278</t>
  </si>
  <si>
    <t>ΕΒΕΡΤ ΝΙΚΟΛΑΟΣ</t>
  </si>
  <si>
    <t>Φ085663</t>
  </si>
  <si>
    <t>ΕΒΡΕΝΟΓΛΟΥ ΠΑΡΑΣΚΕΥΗ</t>
  </si>
  <si>
    <t>ΑΡΤ</t>
  </si>
  <si>
    <t>Π347902</t>
  </si>
  <si>
    <t>ΕΓΓΛΕΖΟΠΟΥΛΟΥ ΜΑΡΙΑ</t>
  </si>
  <si>
    <t>Σ269433</t>
  </si>
  <si>
    <t>ΕΚΟΥΤΣΙΔΗ ΧΡΥΣΑΝΑ</t>
  </si>
  <si>
    <t>ΑΝ396683</t>
  </si>
  <si>
    <t>ΕΛ ΓΑΟΥΙ ΑΙΚΑΤΕΡΙΝΗ</t>
  </si>
  <si>
    <t>ΑΗ025285</t>
  </si>
  <si>
    <t>ΕΛ ΓΚΑΛΙ ΒΑΣΙΛΕΙΑ</t>
  </si>
  <si>
    <t>ΑΒ208732</t>
  </si>
  <si>
    <t>ΕΛΕΝΗ ΠΑΝΑΓΙΩΤΟΥ</t>
  </si>
  <si>
    <t>Ρ502792</t>
  </si>
  <si>
    <t>ΕΛΕΝΗ ΣΟΥΛΙΩΤΗ</t>
  </si>
  <si>
    <t>Χ874544</t>
  </si>
  <si>
    <t>ΔΗΜΟΣ ΦΑΡΚΑΔΟΝΑΣ ΤΡΙΚΑΛΩΝ</t>
  </si>
  <si>
    <t>ΕΛΕΝΗΣ-ΠΑΛΑΙΟΣ ΜΙΧΑΛΗΣ</t>
  </si>
  <si>
    <t>ΑΖ951025</t>
  </si>
  <si>
    <t>ΕΛΕΥΘΕΡΙΑΔΗΣ ΚΩΝΣΤΑΝΤΙΝΟΣ</t>
  </si>
  <si>
    <t>ΑΚ526963</t>
  </si>
  <si>
    <t>ΕΛΕΥΘΕΡΙΑΔΗΣ ΧΑΡΑΛΑΜΠΟΣ</t>
  </si>
  <si>
    <t>ΑΗ636325</t>
  </si>
  <si>
    <t>ΕΛΕΥΘΕΡΙΑΔΟΥ ΣΟΦΙΑ</t>
  </si>
  <si>
    <t>ΑΖ891971</t>
  </si>
  <si>
    <t>ΕΛΕΥΘΕΡΙΟΥ ΓΙΩΡΓΟΣ</t>
  </si>
  <si>
    <t>ΜΥΡ</t>
  </si>
  <si>
    <t>Ξ933670</t>
  </si>
  <si>
    <t>ΔΗΜΟΣ ΜΙΝΩΑ ΠΕΔΙΑΔΟΣ ΗΡΑΚΛΕΙΟΥ</t>
  </si>
  <si>
    <t>ΕΛΕΥΘΕΡΙΟΥ ΕΛΕΥΘΕΡΙΟΣ</t>
  </si>
  <si>
    <t>ΑΕ964579</t>
  </si>
  <si>
    <t>ΕΛΕΥΘΕΡΙΟΥ ΦΩΤΙΟΣ</t>
  </si>
  <si>
    <t>ΑΑ393938</t>
  </si>
  <si>
    <t>ΕΛΕΥΘΕΡΟΥΛΗ ΣΟΦΙΑ</t>
  </si>
  <si>
    <t>Τ397605</t>
  </si>
  <si>
    <t>ΕΛΙΣΕΕΒΑ ΝΑΤΑΛΙΑ</t>
  </si>
  <si>
    <t>ΑΜ905653</t>
  </si>
  <si>
    <t>ΕΛΙΣΣΑΒΟΠΟΥΛΟΣ ΖΑΧΑΡΙΑΣ</t>
  </si>
  <si>
    <t>Σ672647</t>
  </si>
  <si>
    <t>ΕΛΜΑΛΟΓΛΟΥ ΒΑΣΙΛΕΙΟΣ</t>
  </si>
  <si>
    <t>Σ730564</t>
  </si>
  <si>
    <t>ΕΜΙΝ ΦΑΤΜΕ</t>
  </si>
  <si>
    <t>ΣΙΑ</t>
  </si>
  <si>
    <t>Χ965538</t>
  </si>
  <si>
    <t>ΕΜΙΝΟΓΛΟΥ ΝΕΙΣΕΛ</t>
  </si>
  <si>
    <t>ΣΕΛ</t>
  </si>
  <si>
    <t>ΑΖ687971</t>
  </si>
  <si>
    <t>ΕΜΜΑΝΟΥΗΛ ΓΙΩΡΓΟΣ</t>
  </si>
  <si>
    <t>ΑΒ430137</t>
  </si>
  <si>
    <t>ΕΜΜΑΝΟΥΗΛ ΕΛΕΝΗ</t>
  </si>
  <si>
    <t>ΑΜ594385</t>
  </si>
  <si>
    <t>ΕΜΠΟΡΟΠΟΥΛΟΥ ΠΑΡΘΕΝΑ</t>
  </si>
  <si>
    <t>ΑΑ411505</t>
  </si>
  <si>
    <t>ΕΡΕΖΟΓΛΟΥ ΙΣΑΑΚ</t>
  </si>
  <si>
    <t>Ξ939640</t>
  </si>
  <si>
    <t>ΕΡΚΕΚΟΓΛΟΥ ΑΓΑΠΙΟΣ</t>
  </si>
  <si>
    <t>ΑΜ282451</t>
  </si>
  <si>
    <t>ΕΡΚΕΚΟΓΛΟΥ ΑΠΟΣΤΟΛΟΣ</t>
  </si>
  <si>
    <t>ΑΜ677126</t>
  </si>
  <si>
    <t>ΕΡΝΤΕΣ ΧΡΙΣΤΙΝΑ</t>
  </si>
  <si>
    <t>ΖΟΛ</t>
  </si>
  <si>
    <t>ΑΖ539180</t>
  </si>
  <si>
    <t>ΕΤΑΙΡΙΔΟΥ ΒΑΣΙΛΙΚΗ</t>
  </si>
  <si>
    <t>ΑΗ794642</t>
  </si>
  <si>
    <t>ΕΥΑΓΓΕΛΟΥ ΑΘΑΝΑΣΙΑ</t>
  </si>
  <si>
    <t>ΑΒ127323</t>
  </si>
  <si>
    <t>ΕΥΑΓΓΕΛΟΥ ΑΝΔΡΟΝΙΚΗ</t>
  </si>
  <si>
    <t>Σ481652</t>
  </si>
  <si>
    <t>ΕΥΘΥΜΙΑΔΗ ΑΙΚΑΤΕΡΙΝΗ</t>
  </si>
  <si>
    <t>Ρ895544</t>
  </si>
  <si>
    <t>ΕΥΘΥΜΙΑΔΗΣ ΓΕΩΡΓΙΟΣ</t>
  </si>
  <si>
    <t>ΑΝ314534</t>
  </si>
  <si>
    <t>ΕΥΘΥΜΙΑΔΗΣ ΔΗΜΗΤΡΙΟΣ</t>
  </si>
  <si>
    <t>Φ173243</t>
  </si>
  <si>
    <t>ΕΥΘΥΜΙΑΔΗΣ ΙΩΑΝΝΗΣ</t>
  </si>
  <si>
    <t>Λ179268</t>
  </si>
  <si>
    <t>ΕΥΘΥΜΙΑΔΟΥ ΚΥΡΙΑΚΗ</t>
  </si>
  <si>
    <t>Χ891856</t>
  </si>
  <si>
    <t>ΕΥΘΥΜΙΟΠΟΥΛΟΥ ΜΑΡΙΑ</t>
  </si>
  <si>
    <t>Τ237729</t>
  </si>
  <si>
    <t xml:space="preserve">ΕΥΘΥΜΙΟΣ ΣΕΡΑΦΕΙΜΙΔΗΣ </t>
  </si>
  <si>
    <t>ΑΚ329670</t>
  </si>
  <si>
    <t>ΕΥΘΥΜΙΟΥ ΣΠΥΡΙΔΩΝ</t>
  </si>
  <si>
    <t>ΑΗ277726</t>
  </si>
  <si>
    <t>ΕΥΘΥΜΙΟΥ ΧΑΡΑΛΑΜΠΟΣ</t>
  </si>
  <si>
    <t>ΑΖ721689</t>
  </si>
  <si>
    <t>ΔΗΜΟΣ ΜΑΡΚΟΠΟΥΛΟΥ ΜΕΣΟΓΑΙΑΣ ΑΝΑΤΟΛΙΚΗΣ ΑΤΤΙΚΗΣ</t>
  </si>
  <si>
    <t>ΕΥΘΥΜΟΥΔΗ  ΕΛΕΝΗ</t>
  </si>
  <si>
    <t>ΑΖ832338</t>
  </si>
  <si>
    <t>ΕΥΣΤΑΘΙΑΔΟΥ ΑΘΗΝΑ</t>
  </si>
  <si>
    <t>ΑΝ169616</t>
  </si>
  <si>
    <t>ΕΥΣΤΑΘΙΟΥ ΚΥΡΙΑΚΗ</t>
  </si>
  <si>
    <t>Λ602744</t>
  </si>
  <si>
    <t>ΕΥΣΤΑΘΙΟΥ ΜΑΡΙΑΝΑ</t>
  </si>
  <si>
    <t>Σ017315</t>
  </si>
  <si>
    <t>ΕΥΣΤΡΑΤΙΟΥ ΕΥΡΩΠΗ</t>
  </si>
  <si>
    <t>Ρ199100</t>
  </si>
  <si>
    <t>ΕΥΣΤΡΑΤΙΟΥ ΜΑΡΙΑ</t>
  </si>
  <si>
    <t>ΑΙ685474</t>
  </si>
  <si>
    <t>ΕΥΦΡΟΣΥΝΗ ΠΑΠΑΧΑΡΑΛΑΜΠΟΥΣ</t>
  </si>
  <si>
    <t>ΑΗ137236</t>
  </si>
  <si>
    <t>ΕΦΡΑΙΜΙΔΗ ΕΙΡΗΝΗ</t>
  </si>
  <si>
    <t>ΑΒ246062</t>
  </si>
  <si>
    <t>ΖΑΒΒΑΣ ΚΩΝΣΤΑΝΤΙΝΟΣ</t>
  </si>
  <si>
    <t>ΑΑ486812</t>
  </si>
  <si>
    <t>ΖΑΒΙΤΣΑΝΟΣ ΑΝΑΣΤΑΣΙΟΣ</t>
  </si>
  <si>
    <t>ΑΑ060800</t>
  </si>
  <si>
    <t>ΖΑΒΙΤΣΑΝΟΥ ΑΛΕΞΑΝΔΡΑ</t>
  </si>
  <si>
    <t>ΑΙ223088</t>
  </si>
  <si>
    <t>ΖΑΓΚΑΣ ΘΕΟΦΑΝΗΣ</t>
  </si>
  <si>
    <t>Ξ690453</t>
  </si>
  <si>
    <t>ΖΑΓΟΡΑΙΟΥ ΜΑΡΙΑ</t>
  </si>
  <si>
    <t>Φ130673</t>
  </si>
  <si>
    <t>ΖΑΓΟΡΑΣ ΚΥΡΙΑΚΟΣ</t>
  </si>
  <si>
    <t>ΑΝ450058</t>
  </si>
  <si>
    <t>ΔΗΜΟΣ ΚΑΣΟΥ</t>
  </si>
  <si>
    <t>ΥΕ ΕΡΓΑΤΩΝ ΤΕΧΝΙΚΩΝ ΥΠΗΡΕΣΙΩΝ ΒΟΗΘΩΝ ΥΔΡΑΥΛΙΚΩΝ</t>
  </si>
  <si>
    <t>ΖΑΓΟΡΙΑΝΟΥ ΚΥΡΙΑΚΗ-ΝΕΚΤΑΡΙΑ</t>
  </si>
  <si>
    <t>ΑΑ800778</t>
  </si>
  <si>
    <t>ΖΑΓΟΥΡΗΣ ΧΡΗΣΤΟΣ</t>
  </si>
  <si>
    <t>ΑΗ941196</t>
  </si>
  <si>
    <t>ΖΑΚΑΣ ΠΑΣΧΑΛ</t>
  </si>
  <si>
    <t>ΑΗ680060</t>
  </si>
  <si>
    <t>ΖΑΚΟΥΛΗΣ ΧΡΗΣΤΟΣ</t>
  </si>
  <si>
    <t>Σ086914</t>
  </si>
  <si>
    <t>ΖΑΛΑΚΩΣΤΑ ΕΥΑΓΓΕΛΙΑ</t>
  </si>
  <si>
    <t>ΑΜ793128</t>
  </si>
  <si>
    <t>ΖΑΛΟΥΜΗ ΜΑΡΙΑ</t>
  </si>
  <si>
    <t>ΑΖ434033</t>
  </si>
  <si>
    <t>ΖΑΛΩΝΗΣ ΦΡΑΓΚΙΣΚΟΣ</t>
  </si>
  <si>
    <t>ΑΒ174524</t>
  </si>
  <si>
    <t>ΖΑΜΑΚΗ ΜΑΡΙΑ</t>
  </si>
  <si>
    <t>ΑΖ917259</t>
  </si>
  <si>
    <t>ΖΑΜΠΑΡΑΣ ΙΩΑΝΝΗΣ</t>
  </si>
  <si>
    <t>Χ775966</t>
  </si>
  <si>
    <t>ΔΗΜΟΣ ΚΑΙΣΑΡΙΑΝΗΣ ΑΘΗΝΩΝ</t>
  </si>
  <si>
    <t>ΖΑΜΠΕΛΗ ΘΕΟΛΟΓΙΝΗ</t>
  </si>
  <si>
    <t>ΑΒ540420</t>
  </si>
  <si>
    <t>ΖΑΜΠΕΛΗ ΛΑΜΠΡΙΝΗ</t>
  </si>
  <si>
    <t>Φ336476</t>
  </si>
  <si>
    <t>ΖΑΜΠΕΛΗΣ ΓΕΩΡΓΙΟΣ</t>
  </si>
  <si>
    <t>ΙΑΚ</t>
  </si>
  <si>
    <t>Χ691023</t>
  </si>
  <si>
    <t>ΖΑΜΠΕΤΑ ΚΑΛΛΙΟΠΗ</t>
  </si>
  <si>
    <t>ΑΗ061088</t>
  </si>
  <si>
    <t>ΖΑΜΠΟΥΡΑ ΜΑΡΙΑ</t>
  </si>
  <si>
    <t>Σ027609</t>
  </si>
  <si>
    <t>ΖΑΝΕΚΑΣ ΘΕΟΔΩΡΟΣ</t>
  </si>
  <si>
    <t>Π228115</t>
  </si>
  <si>
    <t>Ζαννιάς Δημήτρης</t>
  </si>
  <si>
    <t>ΑΖ994479</t>
  </si>
  <si>
    <t>ΖΑΝΝΙΚΟΣ ΧΡΙΣΤΟΦΗΣ</t>
  </si>
  <si>
    <t>ΑΒ938161</t>
  </si>
  <si>
    <t>ΔΗΜΟΣ ΟΙΝΟΥΣΣΩΝ</t>
  </si>
  <si>
    <t>ΖΑΠΟΥΝΙΔΗΣ ΘΕΟΔΩΡΟΣ</t>
  </si>
  <si>
    <t>ΑΒ354252</t>
  </si>
  <si>
    <t>ΖΑΠΡΟΥΔΗΣ ΠΑΝΑΓΙΩΤΗΣ</t>
  </si>
  <si>
    <t>ΑΖ539238</t>
  </si>
  <si>
    <t>Ζαραλή Πηνελόπη</t>
  </si>
  <si>
    <t>Ιωά</t>
  </si>
  <si>
    <t>ΑΑ753318</t>
  </si>
  <si>
    <t>ΖΑΡΓΚΛΗ ΜΑΡΙΑ</t>
  </si>
  <si>
    <t>ΑΑ001446</t>
  </si>
  <si>
    <t>ΖΑΡΚΑΔΑΣ ΑΠΟΣΤΟΛΟΣ</t>
  </si>
  <si>
    <t>Λ732935</t>
  </si>
  <si>
    <t>ΖΑΡΚΑΔΑΣ ΠΑΝΑΓΙΩΤΗΣ</t>
  </si>
  <si>
    <t>ΑΜ846597</t>
  </si>
  <si>
    <t>ΖΑΡΚΑΔΗΣ ΝΙΚΟΛΑΟΣ</t>
  </si>
  <si>
    <t>Ξ694361</t>
  </si>
  <si>
    <t>ΔΗΜΟΤΙΚΗ ΕΠΙΧΕΙΡΗΣΗ ΥΔΡΕΥΣΗΣ ΑΠΟΧΕΤΕΥΣΗΣ ΔΗΜΟΥ ΦΑΙΣΤΟΥ (Δ.Ε.Υ.Α. ΦΑΙΣΤΟΥ)</t>
  </si>
  <si>
    <t>ΥΕ ΚΑΤΑΜΕΤΡΗΤΩΝ - ΥΔΡΟΜΕΤΡΗΤΩΝ</t>
  </si>
  <si>
    <t>ΖΑΡΜΠΟΣ ΙΩΑΝΝΗΣ</t>
  </si>
  <si>
    <t>ΑΗ801704</t>
  </si>
  <si>
    <t>ΔΗΜΟΣ ΑΛΟΝΝΗΣΟΥ</t>
  </si>
  <si>
    <t>ΖΑΡΜΠΟΥΤΗΣ ΒΑΣΙΛΕΙΟΣ</t>
  </si>
  <si>
    <t>ΑΜ005447</t>
  </si>
  <si>
    <t>ΖΑΡΝΟΜΗΤΡΟΥ ΑΣΠΑΣΙΑ</t>
  </si>
  <si>
    <t>ΑΒ323421</t>
  </si>
  <si>
    <t>ΖΑΡΠΑΠΗΣ ΔΗΜΗΤΡΙΟΣ</t>
  </si>
  <si>
    <t>ΑΖ374906</t>
  </si>
  <si>
    <t>ΖΑΦΕΙΡΗ ΕΛΕΝΗ</t>
  </si>
  <si>
    <t>Π060166</t>
  </si>
  <si>
    <t>ΥΕ ΕΡΓΑΤΕΣ ΥΔΡΕΥΣΗΣ</t>
  </si>
  <si>
    <t>ΖΑΦΕΙΡΗΣ ΙΩΑΝΝΗΣ</t>
  </si>
  <si>
    <t>Χ426301</t>
  </si>
  <si>
    <t>ΖΑΦΕΙΡΗΣ ΚΩΝΣΤΑΝΤΙΝΟΣ ΠΑΝΑΓΙΩΤΗΣ</t>
  </si>
  <si>
    <t>ΑΗ780418</t>
  </si>
  <si>
    <t>ΖΑΦΕΙΡΗΣ ΠΑΝΑΓΙΩΤΗΣ</t>
  </si>
  <si>
    <t>Ρ872407</t>
  </si>
  <si>
    <t>ΖΑΦΕΙΡΟΠΟΥΛΟΣ ΠΑΝΤΕΛΗΣ</t>
  </si>
  <si>
    <t>ΑΙ269468</t>
  </si>
  <si>
    <t>ΖΑΦΕΙΡΟΠΟΥΛΟΣ ΧΡΗΣΤΟΣ</t>
  </si>
  <si>
    <t>ΑΒ383852</t>
  </si>
  <si>
    <t>ΖΑΦΕΙΡΟΠΟΥΛΟΥ ΜΑΡΙΑ</t>
  </si>
  <si>
    <t>ΑΜ746999</t>
  </si>
  <si>
    <t>ΖΑΧΑΡΗΣ ΠΑΝΑΓΙΩΤΗΣ</t>
  </si>
  <si>
    <t>Σ889971</t>
  </si>
  <si>
    <t>ΖΑΧΑΡΙΑ ΒΑΣΙΛΙΚΗ</t>
  </si>
  <si>
    <t>ΑΙ234383</t>
  </si>
  <si>
    <t>ΖΑΧΑΡΙΑΔΟΥ ΤΑΤΙΑΝΑ</t>
  </si>
  <si>
    <t>ΒΙΚ</t>
  </si>
  <si>
    <t>ΑΝ769510</t>
  </si>
  <si>
    <t>ΠΑΛ (ΧΩΡ. ΕΜΠ.)</t>
  </si>
  <si>
    <t>ΖΑΧΑΡΙΟΥ ΑΓΛΑΙΑ</t>
  </si>
  <si>
    <t>ΑΙ413474</t>
  </si>
  <si>
    <t>ΖΑΧΑΡΟΠΟΥΛΟΣ ΑΡΓΥΡΙΟΣ</t>
  </si>
  <si>
    <t>ΛΥΣ</t>
  </si>
  <si>
    <t>Π750</t>
  </si>
  <si>
    <t>ΖΑΧΑΡΟΠΟΥΛΟΣ ΝΙΚΟΛΑΟΣ</t>
  </si>
  <si>
    <t>ΑΝ250970</t>
  </si>
  <si>
    <t>Ζαχαροπουλος Μαρινος</t>
  </si>
  <si>
    <t>Παν</t>
  </si>
  <si>
    <t>Ρ306947</t>
  </si>
  <si>
    <t>ΖΑΧΑΡΟΠΟΥΛΟΥ ΒΑΣΙΛΙΚΗ</t>
  </si>
  <si>
    <t>ΑΕ519921</t>
  </si>
  <si>
    <t>ΖΑΧΙΩΤΗ ΤΖΕΟΡΤΖΕΤΑ-ΓΕΩΡΓΙΑ</t>
  </si>
  <si>
    <t>ΑΜ304018</t>
  </si>
  <si>
    <t>ΖΑΧΟΣ ΕΜΜΑΝΟΥΗΛ</t>
  </si>
  <si>
    <t>ΑΙ283639</t>
  </si>
  <si>
    <t>ΖΑΧΟΥ ΑΛΕΞΑΝΔΡΑ</t>
  </si>
  <si>
    <t>ΑΝ231976</t>
  </si>
  <si>
    <t>ΖΑΧΟΥ ΕΛΕΝΗ</t>
  </si>
  <si>
    <t>ΑΒ880703</t>
  </si>
  <si>
    <t>ΑΜ365334</t>
  </si>
  <si>
    <t>ΖΑΧΟΥΔΗ ΜΑΡΙΑ</t>
  </si>
  <si>
    <t>ΑΖ290364</t>
  </si>
  <si>
    <t>ΖΑΧΟΥΔΗΣ ΕΥΡΙΠΙΔΗΣ</t>
  </si>
  <si>
    <t>ΑΑ384546</t>
  </si>
  <si>
    <t>ΖΔΡΑΓΚΑ ΣΤΑΜΑΤΙΑ</t>
  </si>
  <si>
    <t>Χ313874</t>
  </si>
  <si>
    <t xml:space="preserve">ΖΕΪΜΠΕΙΚΗ ΣΤΑΥΡΟΥΛΑ </t>
  </si>
  <si>
    <t>ΑΑ264126</t>
  </si>
  <si>
    <t>ΖΕΙΜΠΕΚΗ ΑΝΤΙΓΟΝΗ</t>
  </si>
  <si>
    <t>ΑΖ289084</t>
  </si>
  <si>
    <t>ΖΕΚΙΟΣ ΣΤΑΥΡΟΣ</t>
  </si>
  <si>
    <t>ΑΖ107778</t>
  </si>
  <si>
    <t>ΖΕΝΕΤΟΣ ΔΗΜΗΤΡΙΟΣ</t>
  </si>
  <si>
    <t>Ξ126139</t>
  </si>
  <si>
    <t>ΖΕΠΙΔΟΥ ΑΝΑΣΤΑΣΙΑ</t>
  </si>
  <si>
    <t>ΑΚ030273</t>
  </si>
  <si>
    <t>ΖΕΡΒΑ ΜΑΡΙΑ</t>
  </si>
  <si>
    <t>ΑΑ392589</t>
  </si>
  <si>
    <t>ΖΕΡΒΑ ΦΩΤΕΙΝΗ</t>
  </si>
  <si>
    <t>ΑΜ672416</t>
  </si>
  <si>
    <t>ΖΕΡΒΑΣ ΝΙΚΟΛΑΟΣ</t>
  </si>
  <si>
    <t>ΑΝ324260</t>
  </si>
  <si>
    <t>ΖΕΡΒΟΓΛΟΥ ΜΑΡΙΑ</t>
  </si>
  <si>
    <t>ΚΩΣ</t>
  </si>
  <si>
    <t>ΑΑ261907</t>
  </si>
  <si>
    <t>ΖΕΡΒΟΣ ΣΕΒΑΣΤΟΣ</t>
  </si>
  <si>
    <t>Χ323575</t>
  </si>
  <si>
    <t>ΖΕΡΔΑΛΗΣ ΑΘΑΝΑΣΙΟΣ</t>
  </si>
  <si>
    <t>ΑΚ410672</t>
  </si>
  <si>
    <t>ΖΕΡΖΕΛΙΔΟΥ ΙΦΙΓΕΝΕΙΑ</t>
  </si>
  <si>
    <t>ΑΖ091906</t>
  </si>
  <si>
    <t>ΖΕΡΖΕΛΙΔΟΥ ΣΟΦΙΑ</t>
  </si>
  <si>
    <t>Σ065024</t>
  </si>
  <si>
    <t>ΖΕΡΝΙΩΤΗ ΜΑΡΙΑ</t>
  </si>
  <si>
    <t>ΑΒ756021</t>
  </si>
  <si>
    <t>ΖΕΡΤΙΔΗ ΣΟΦΙΑ</t>
  </si>
  <si>
    <t>Σ551420</t>
  </si>
  <si>
    <t>ΖΕΡΤΙΔΗΣ ΕΥΡΙΠΙΔΗΣ</t>
  </si>
  <si>
    <t>ΑΒ588109</t>
  </si>
  <si>
    <t>ΖΕΥΛΙΔΗΣ ΓΕΩΡΓΙΟΣ</t>
  </si>
  <si>
    <t>Ξ648699</t>
  </si>
  <si>
    <t>ΖΗΓΚΟΥ ΑΝΑΣΤΑΣΙΑ</t>
  </si>
  <si>
    <t>ΑΗ151219</t>
  </si>
  <si>
    <t>Ζηκα Καλλιοπη</t>
  </si>
  <si>
    <t>Βασ</t>
  </si>
  <si>
    <t>Ρ223468</t>
  </si>
  <si>
    <t>ΖΗΛΙΦΤΑΡΙΔΗΣ ΠΑΥΛΟΣ</t>
  </si>
  <si>
    <t>ΑΗ297271</t>
  </si>
  <si>
    <t>ΖΗΡΟΓΙΑΝΝΗ ΑΘΑΝΑΣΙΑ</t>
  </si>
  <si>
    <t>ΑΝ055004</t>
  </si>
  <si>
    <t>ΖΗΣΗ ΑΝΝΑ</t>
  </si>
  <si>
    <t>Ν702412</t>
  </si>
  <si>
    <t>ΖΗΣΗ ΓΡΗΓΟΡΙΑ</t>
  </si>
  <si>
    <t>ΑΖ587153</t>
  </si>
  <si>
    <t>ΖΗΣΗ ΜΑΡΙΑ</t>
  </si>
  <si>
    <t>ΑΕ797023</t>
  </si>
  <si>
    <t>Ζηση Εμμανουελα</t>
  </si>
  <si>
    <t>Εμμ</t>
  </si>
  <si>
    <t>Χ417246</t>
  </si>
  <si>
    <t>ΖΗΣΙΟΣ ΔΗΜΗΤΡΙΟΣ</t>
  </si>
  <si>
    <t>Τ995146</t>
  </si>
  <si>
    <t>ΖΗΣΙΟΥ ΣΤΑΥΡΟΥΛΑ</t>
  </si>
  <si>
    <t>ΑΖ786319</t>
  </si>
  <si>
    <t>ΖΙΑΓΚΟΥ ΕΛΕΝΗ</t>
  </si>
  <si>
    <t>Μ777872</t>
  </si>
  <si>
    <t>ΖΙΑΖΙΑΣ ΚΩΝΣΤΑΝΤΙΝΟΣ</t>
  </si>
  <si>
    <t>ΑΝ986977</t>
  </si>
  <si>
    <t>ΖΙΑΚΑ ΕΙΡΗΝΗ</t>
  </si>
  <si>
    <t>ΑΖ648972</t>
  </si>
  <si>
    <t>ΖΙΑΚΑΣ ΘΩΜΑΣ</t>
  </si>
  <si>
    <t>ΑΖ670070</t>
  </si>
  <si>
    <t>ΖΙΑΡΟΣ ΓΕΩΡΓΙΟΣ</t>
  </si>
  <si>
    <t>Χ873546</t>
  </si>
  <si>
    <t>ΖΙΧΝΑΛΗ ΜΑΡΙΑ</t>
  </si>
  <si>
    <t>ΑΒ889361</t>
  </si>
  <si>
    <t>ΖΙΩΓΑ ΘΕΟΔΩΡΑ</t>
  </si>
  <si>
    <t>Π437277</t>
  </si>
  <si>
    <t>ΖΙΩΓΚΑΣ ΓΙΑΝΝΗΣ</t>
  </si>
  <si>
    <t>ΑΙ315299</t>
  </si>
  <si>
    <t>ΖΙΩΚΟΥ ΜΑΡΙΑ</t>
  </si>
  <si>
    <t>Μ694072</t>
  </si>
  <si>
    <t>ΖΛΑΚΙΟΣ ΕΥΑΓΓΕΛΟΣ</t>
  </si>
  <si>
    <t>ΑΝ198450</t>
  </si>
  <si>
    <t>ΖΛΑΤΚΟΣ ΗΛΙΑΣ</t>
  </si>
  <si>
    <t>ΑΖ847255</t>
  </si>
  <si>
    <t>ΔΗΜΟΣ ΝΕΑΣ ΖΙΧΝΗΣ ΣΕΡΡΩΝ</t>
  </si>
  <si>
    <t>ΖΛΑΤΟΠΟΥΛΟΣ ΕΥΑΓΓΕΛΟΣ</t>
  </si>
  <si>
    <t>Τ797154</t>
  </si>
  <si>
    <t>ΖΟΛΩΤΑ ΚΥΡΙΑΚΗ</t>
  </si>
  <si>
    <t>Π124128</t>
  </si>
  <si>
    <t>Ζομπου Εμπρου</t>
  </si>
  <si>
    <t>Σαλ</t>
  </si>
  <si>
    <t>ΑΗ155081</t>
  </si>
  <si>
    <t>ΕΙΔ. (ΧΩΡ.ΕΜΠ.)</t>
  </si>
  <si>
    <t>ΖΟΡΓΙΑΝΟΥ ΙΩΑΝΝΑ</t>
  </si>
  <si>
    <t>Χ933941</t>
  </si>
  <si>
    <t>ΖΟΥΑΝΟΣ ΑΝΔΡΕΑΣ</t>
  </si>
  <si>
    <t>Σ831909</t>
  </si>
  <si>
    <t>ΖΟΥΓΑΝΕΛΗ ΜΑΡΟΥΛΙΩ</t>
  </si>
  <si>
    <t>ΑΗ442065</t>
  </si>
  <si>
    <t>ΖΟΥΓΑΝΕΛΗΣ ΙΩΑΝΝΗΣ</t>
  </si>
  <si>
    <t>ΑΕ541694</t>
  </si>
  <si>
    <t>ΖΟΥΓΑΝΕΛΗΣ ΝΙΚΟΛΑΟΣ</t>
  </si>
  <si>
    <t>Ν598996</t>
  </si>
  <si>
    <t>ΖΟΥΛΑΣ ΠΑΝΑΓΙΩΤΗΣ</t>
  </si>
  <si>
    <t>ΑΙ880374</t>
  </si>
  <si>
    <t>ΖΟΥΜΠΑΚΗ ΚΑΛΟΜΟΙΡΑ</t>
  </si>
  <si>
    <t>Χ641623</t>
  </si>
  <si>
    <t>ΖΟΥΜΠΑΝΙΩΤΗΣ ΔΗΜΗΤΡΙΟΣ</t>
  </si>
  <si>
    <t>Σ948589</t>
  </si>
  <si>
    <t>ΖΟΥΜΠΟΥΛΗΣ ΙΠΠΟΚΡΑΤΗΣ</t>
  </si>
  <si>
    <t>ΑΕ691462</t>
  </si>
  <si>
    <t>ΖΟΥΡΙΔΑΚΗ ΚΑΛΛΙΟΠΗ</t>
  </si>
  <si>
    <t>ΑΗ474842</t>
  </si>
  <si>
    <t>ΖΟΥΡΙΔΑΚΗΣ ΝΙΚΟΛΑΟΣ</t>
  </si>
  <si>
    <t>ΑΝ476890</t>
  </si>
  <si>
    <t>ΖΟΥΡΛΑΔΑΝΗΣ ΑΣΤΕΡΙΟΣ</t>
  </si>
  <si>
    <t>Ρ887903</t>
  </si>
  <si>
    <t>ΖΥΓΟΒΙΣΤΙΝΟΣ ΕΛΕΥΘΕΡΙΟΣ</t>
  </si>
  <si>
    <t>ΑΕ525797</t>
  </si>
  <si>
    <t>ΖΥΓΟΥΡΗ ΣΤΑΥΡΟΥΛΑ</t>
  </si>
  <si>
    <t>Σ312629</t>
  </si>
  <si>
    <t>ΖΥΦΛΙΔΗΣ ΠΑΥΛΟΣ</t>
  </si>
  <si>
    <t>ΑΖ160878</t>
  </si>
  <si>
    <t>ΖΩΓΡΑΦΟΣ ΠΑΝΤΕΛΗΣ</t>
  </si>
  <si>
    <t>ΚΥΠ</t>
  </si>
  <si>
    <t>Ρ579778</t>
  </si>
  <si>
    <t>ΖΩΓΡΑΦΟΣ ΧΡΗΣΤΟΣ</t>
  </si>
  <si>
    <t>Ν248443</t>
  </si>
  <si>
    <t>ΖΩΗ ΜΑΛΑΜΑΤΗ</t>
  </si>
  <si>
    <t>ΑΖ787511</t>
  </si>
  <si>
    <t>ΖΩΡΓΙΟΥ ΑΝΑΣΤΑΣΙΑ</t>
  </si>
  <si>
    <t>ΑΝ260309</t>
  </si>
  <si>
    <t>ΖΩΤΟΥ ΑΘΑΝΑΣΙΑ</t>
  </si>
  <si>
    <t>Χ863973</t>
  </si>
  <si>
    <t>ΖΩΧΑΚΗΣ ΠΑΝΑΓΙΩΤΗΣ</t>
  </si>
  <si>
    <t>Π249149</t>
  </si>
  <si>
    <t>ΥΕ ΕΡΓΑΤΕΣ ΚΑΘΑΡΙΟΤΗΤΑΣ (ΑΠΟΚΟΜΙΔΗΣ ΑΠΟΡΡΙΜΜΑΤΩΝ)</t>
  </si>
  <si>
    <t>ΗΛΙΑΔΗ ΑΓΑΠΗ</t>
  </si>
  <si>
    <t>Τ372700</t>
  </si>
  <si>
    <t>ΗΛΙΑΔΗ ΕΛΙΣΑΒΕΤΑ</t>
  </si>
  <si>
    <t>ΑΑ410732</t>
  </si>
  <si>
    <t>ΗΛΙΑΔΗΣ ΚΩΝΣΤΑΝΤΙΝΟΣ</t>
  </si>
  <si>
    <t>ΑΗ592598</t>
  </si>
  <si>
    <t>ΑΙ382554</t>
  </si>
  <si>
    <t>ΗΛΙΑΔΗΣ ΜΑΤΘΑΙΟΣ</t>
  </si>
  <si>
    <t>ΑΒ354732</t>
  </si>
  <si>
    <t>ΗΛΙΑΔΟΥ ΕΛΕΝΗ</t>
  </si>
  <si>
    <t>ΑΜ708451</t>
  </si>
  <si>
    <t>ηλιαδου αλεξανδρα</t>
  </si>
  <si>
    <t>ΑΒ167827</t>
  </si>
  <si>
    <t>ΗΛΙΑΚΟΠΟΥΛΟΥ ΓΕΩΡΓ</t>
  </si>
  <si>
    <t>Ν473673</t>
  </si>
  <si>
    <t>Ηλιας Λαζαρος</t>
  </si>
  <si>
    <t>ΗΛΙΟΠΟΥΛΟΣ ΠΑΝΑΓΙΩΤΗΣ</t>
  </si>
  <si>
    <t>Τ089559</t>
  </si>
  <si>
    <t>ΗΛΙΟΠΟΥΛΟΥ ΖΩΗ</t>
  </si>
  <si>
    <t>Χ519620</t>
  </si>
  <si>
    <t>ΗΛΙΟΠΟΥΛΟΥ ΝΙΚΟΛΕΤΑ</t>
  </si>
  <si>
    <t>Τ521888</t>
  </si>
  <si>
    <t>ΘΑΝΑΗΛΑΚΗΣ ΕΥΣΤΡΑΤΙΟΣ</t>
  </si>
  <si>
    <t>ΑΕ689358</t>
  </si>
  <si>
    <t>ΘΑΝΟΠΟΥΛΟΥ ΜΑΡΙΑ</t>
  </si>
  <si>
    <t>Σ979592</t>
  </si>
  <si>
    <t>ΘΑΝΟΣ ΝΙΚΟΛΑΟΣ</t>
  </si>
  <si>
    <t>Σ917817</t>
  </si>
  <si>
    <t>ΘΑΝΟΥ ΑΘΑΝΑΣΙΑ</t>
  </si>
  <si>
    <t>Σ849726</t>
  </si>
  <si>
    <t>ΘΑΝΟΥ ΚΑΤΕΡΙΝΑ</t>
  </si>
  <si>
    <t>ΑΖ729140</t>
  </si>
  <si>
    <t>ΘΑΡΟΥΝΙΑΤΗΣ ΑΘΑΝΑΣΙΟΣ</t>
  </si>
  <si>
    <t>ΑΜ103488</t>
  </si>
  <si>
    <t xml:space="preserve">ΘΑΣΣΙΤΗ ΣΤΑΜΑΤΙΚΗ </t>
  </si>
  <si>
    <t xml:space="preserve"> Ρ291804 </t>
  </si>
  <si>
    <t>ΘΕΟΔΟΣΙΟΥ ΝΙΚΗΤΑΣ</t>
  </si>
  <si>
    <t>ΑΖ939159</t>
  </si>
  <si>
    <t>ΘΕΟΔΟΣΟΠΟΥΛΟΥ ΑΝΔΡΟΜΑΧΗ</t>
  </si>
  <si>
    <t>ΑΒ314264</t>
  </si>
  <si>
    <t xml:space="preserve">ΘΕΟΔΩΡΑΚΗ ΜΑΡΙΑ </t>
  </si>
  <si>
    <t>ΑΝ209137</t>
  </si>
  <si>
    <t>ΘΕΟΔΩΡΑΚΗ ΣΟΦΙΑ</t>
  </si>
  <si>
    <t>Ν964503</t>
  </si>
  <si>
    <t>ΘΕΟΔΩΡΑΚΗΣ ΑΝΤΩΝΙΟΣ</t>
  </si>
  <si>
    <t>ΑΖ471750</t>
  </si>
  <si>
    <t>ΘΕΟΔΩΡΑΚΗΣ ΔΗΜΗΤΡΙΟΣ</t>
  </si>
  <si>
    <t>ΑΒ682298</t>
  </si>
  <si>
    <t>ΘΕΟΔΩΡΑΚΗΣ ΚΛΕΑΝΘΗΣ</t>
  </si>
  <si>
    <t>Τ178818</t>
  </si>
  <si>
    <t>ΘΕΟΔΩΡΑΚΟΠΟΥΛΟΥ ΓΕΩΡΓΙΑ</t>
  </si>
  <si>
    <t xml:space="preserve">Χ904316 </t>
  </si>
  <si>
    <t>ΘΕΟΔΩΡΑΤΟΥ ΜΑΡΙΑ</t>
  </si>
  <si>
    <t>ΑΗ073037</t>
  </si>
  <si>
    <t>ΘΕΟΔΩΡΙΔΗΣ ΓΕΩΡΓΙΟΣ</t>
  </si>
  <si>
    <t>ΑΖ401909</t>
  </si>
  <si>
    <t>ΔΗΜΟΣ ΤΟΠΕΙΡΟΥ ΞΑΝΘΗΣ</t>
  </si>
  <si>
    <t>ΘΕΟΔΩΡΙΔΗΣ ΕΥΑΓΓΕΛΟΣ</t>
  </si>
  <si>
    <t>ΑΚ882789</t>
  </si>
  <si>
    <t>ΘΕΟΔΩΡΙΔΟΥ ΑΝΑΣΤΑΣΙΑ</t>
  </si>
  <si>
    <t>Χ318780</t>
  </si>
  <si>
    <t>ΘΕΟΔΩΡΙΔΟΥ ΒΑΣΙΛΙΚΗ</t>
  </si>
  <si>
    <t>ΑΙ902681</t>
  </si>
  <si>
    <t>ΘΕΟΔΩΡΙΔΟΥ ΔΕΣΠΟΙΝΑ</t>
  </si>
  <si>
    <t>ΑΖ353414</t>
  </si>
  <si>
    <t>ΘΕΟΔΩΡΟΠΟΥΛΟΣ ΑΝΔΡΕΑΣ</t>
  </si>
  <si>
    <t>ΑΙ202990</t>
  </si>
  <si>
    <t>ΘΕΟΔΩΡΟΠΟΥΛΟΣ ΕΛΕΥΘΕΡΙΟΣ</t>
  </si>
  <si>
    <t>ΑΖ881997</t>
  </si>
  <si>
    <t>ΘΕΟΔΩΡΟΠΟΥΛΟΣ ΙΩΑΝΝΗΣ</t>
  </si>
  <si>
    <t>ΑΜ555596</t>
  </si>
  <si>
    <t>ΘΕΟΔΩΡΟΠΟΥΛΟΣ ΚΩΝΣΤΑΝΤΙΝΟΣ</t>
  </si>
  <si>
    <t>ΑΜ380862</t>
  </si>
  <si>
    <t>Σ786060</t>
  </si>
  <si>
    <t>ΑΜ590891</t>
  </si>
  <si>
    <t>ΘΕΟΔΩΡΟΠΟΥΛΟΥ ΕΥΓΕΝΙΑ</t>
  </si>
  <si>
    <t>ΑΗ601001</t>
  </si>
  <si>
    <t>ΔΗΜΟΣ ΓΑΛΑΤΣΙΟΥ ΑΘΗΝΩΝ</t>
  </si>
  <si>
    <t>ΘΕΟΔΩΡΟΠΟΥΛΟΥ ΠΑΝΑΓΙΩΤΑ</t>
  </si>
  <si>
    <t>ΑΒ269270</t>
  </si>
  <si>
    <t>ΘΕΟΔΩΡΟΠΟΥΛΟΥ ΧΑΡΑΛΑΜΠΙΑ</t>
  </si>
  <si>
    <t>Χ899421</t>
  </si>
  <si>
    <t>ΘΕΟΔΩΡΟΣ ΚΕΚΕΛΗΣ</t>
  </si>
  <si>
    <t>ΑΕ172008</t>
  </si>
  <si>
    <t>ΘΕΟΔΩΡΟΥ ΑΙΚΑΤΕΡΙΝΗ</t>
  </si>
  <si>
    <t>ΑΜ101124</t>
  </si>
  <si>
    <t>ΘΕΟΔΩΡΟΥ ΕΥΤΑΛΙΑ</t>
  </si>
  <si>
    <t>ΑΗ795760</t>
  </si>
  <si>
    <t>ΘΕΟΔΩΡΟΥ ΠΑΝΑΓΙΩΤΑ</t>
  </si>
  <si>
    <t>ΔΑΥ</t>
  </si>
  <si>
    <t>ΑΒ489312</t>
  </si>
  <si>
    <t>ΘΕΟΔΩΡΟΥ ΧΡΙΣΤΙΝΑ</t>
  </si>
  <si>
    <t>ΑΑ027337</t>
  </si>
  <si>
    <t>ΘΕΟΔΩΡΟΥ ΧΡΥΣΟΒΑΛΑΝΤΑ</t>
  </si>
  <si>
    <t>ΑΙ642197</t>
  </si>
  <si>
    <t>ΘΕΟΦΑΝΑΚΗ ΣΤΑΜΑΤΙΑ</t>
  </si>
  <si>
    <t>Σ707168</t>
  </si>
  <si>
    <t>ΘΕΟΦΙΛΟΠΟΥΛΟΣ ΘΕΟΦΑΝΗΣ</t>
  </si>
  <si>
    <t>ΑΖ208194</t>
  </si>
  <si>
    <t>ΘΕΟΦΙΛΟΥ ΑΛΕΞΑΝΔΡΑ</t>
  </si>
  <si>
    <t>ΑΝ699296</t>
  </si>
  <si>
    <t>ΘΕΟΧΑΡΗΣ ΑΘΑΝΑΣΙΟΣ</t>
  </si>
  <si>
    <t>ΑΒ309498</t>
  </si>
  <si>
    <t>ΘΩΜΑ ΧΡΙΣΤΙΝΑ ΜΑΡΙΝΑ</t>
  </si>
  <si>
    <t>Σ606191</t>
  </si>
  <si>
    <t>ΘΩΜΟΓΛΟΥ ΑΝΟΙΞΗ</t>
  </si>
  <si>
    <t>Τ219612</t>
  </si>
  <si>
    <t>ΙΒΑΝΙΔΗ ΝΑΤΑΛΙΑ</t>
  </si>
  <si>
    <t>ΑΕ391367</t>
  </si>
  <si>
    <t>ΙΓΓΛΕΖΟΥ ΘΕΟΔΩΡΑ</t>
  </si>
  <si>
    <t>ΑΝ318332</t>
  </si>
  <si>
    <t>ΙΓΝΑΤΙΑΔΗΣ ΙΩΑΝΝΗΣ</t>
  </si>
  <si>
    <t>Ξ197612</t>
  </si>
  <si>
    <t>ΙΛΤΣΟΣ ΗΛΙΑΣ</t>
  </si>
  <si>
    <t>ΑΚ268451</t>
  </si>
  <si>
    <t>ΙΜΒΡΙΟΥ ΕΛΠΙΝΙΚΗ</t>
  </si>
  <si>
    <t>ΑΚ285301</t>
  </si>
  <si>
    <t>ΙΟΡΔΑΝΙΔΗΣ ΧΡΗΣΤΟΣ</t>
  </si>
  <si>
    <t>ΑΒ265185</t>
  </si>
  <si>
    <t>ΙΟΡΔΑΝΙΔΟΥ ΝΑΝΤΕΖΝΤΑ</t>
  </si>
  <si>
    <t>ΑΖ363390</t>
  </si>
  <si>
    <t>ΙΟΡΔΑΝΙΔΟΥ ΣΟΥΣΑΝΝΑ</t>
  </si>
  <si>
    <t>Χ123768</t>
  </si>
  <si>
    <t>ΙΟΡΔΑΝΟΠΟΥΛΟΥ ΕΛΠΙΔΑ</t>
  </si>
  <si>
    <t>ΑΚ491273</t>
  </si>
  <si>
    <t>ΙΟΡΔΑΝΟΥ ΑΝΤΩΝΙΑ</t>
  </si>
  <si>
    <t>Ξ669834</t>
  </si>
  <si>
    <t>ΙΟΡΔΑΝΟΥ ΡΟΖΑ</t>
  </si>
  <si>
    <t>ΑΗ951094</t>
  </si>
  <si>
    <t>ΙΟΡΔΑΝΟΥ ΧΡΥΣΟΥΛΑ</t>
  </si>
  <si>
    <t>ΑΖ803980</t>
  </si>
  <si>
    <t>ΙΠΠΙΩΤΗ ΕΥΓΕΝΙΑ</t>
  </si>
  <si>
    <t>ΑΕ282602</t>
  </si>
  <si>
    <t>ΙΣΑΑΚΙΔΗΣ ΔΗΜΗΤΡΙΟΣ</t>
  </si>
  <si>
    <t>ΙΣΑ</t>
  </si>
  <si>
    <t>ΑΒ379883</t>
  </si>
  <si>
    <t>ΙΣΑΑΚΙΔΟΥ ΟΛΓΑ</t>
  </si>
  <si>
    <t>Σ055846</t>
  </si>
  <si>
    <t>ΙΣΜΥΡΝΙΟΓΛΟΥ ΕΜΜΑΝΟΥΕΛΑ</t>
  </si>
  <si>
    <t>ΑΚ374729</t>
  </si>
  <si>
    <t>ΙΤΖΕΣ ΜΙΧΑΗΛ</t>
  </si>
  <si>
    <t>Π207617</t>
  </si>
  <si>
    <t>ΥΕ ΕΡΓΑΤΩΝ ΦΥΛΑΚΩΝ - ΣΥΝΤΗΡΗΤΩΝ ΧΥΤΑ</t>
  </si>
  <si>
    <t>ΙΩΑΚΕΙΜΙΔΗΣ ΓΕΩΡΓΙΟΣ</t>
  </si>
  <si>
    <t>Χ207985</t>
  </si>
  <si>
    <t>ΙΩΑΚΕΙΜΙΔΟΥ ΕΛΕΝΗ</t>
  </si>
  <si>
    <t>ΑΜ153404</t>
  </si>
  <si>
    <t>ΙΩΑΚΕΙΜΙΔΟΥ ΜΑΡΙΝΑ</t>
  </si>
  <si>
    <t>ΝΕΟ</t>
  </si>
  <si>
    <t>ΑΕ856685</t>
  </si>
  <si>
    <t>ΙΩΑΝΝΙΔΗ ΜΑΡΙΑ</t>
  </si>
  <si>
    <t>Χ209635</t>
  </si>
  <si>
    <t>ΙΩΑΝΝΙΔΗΣ ΔΗΜΗΤΡΙΟΣ</t>
  </si>
  <si>
    <t>ΑΒ609322</t>
  </si>
  <si>
    <t>ΙΩΑΝΝΙΔΗΣ ΕΥΣΤΑΘΙΟΣ</t>
  </si>
  <si>
    <t>Π869255</t>
  </si>
  <si>
    <t>ΙΩΑΝΝΙΔΗΣ ΠΑΝΤΕΛΗΣ</t>
  </si>
  <si>
    <t>ΑΜ858213</t>
  </si>
  <si>
    <t>ΙΩΑΝΝΙΔΟΥ ΑΛΙΚΗ</t>
  </si>
  <si>
    <t>ΑΝ902446</t>
  </si>
  <si>
    <t>ΙΩΑΝΝΙΔΟΥ ΔΕΣΠΟΙΝΑ</t>
  </si>
  <si>
    <t>ΑΑ108428</t>
  </si>
  <si>
    <t>ΙΩΑΝΝΙΔΟΥ ΕΙΡΗΝΗ</t>
  </si>
  <si>
    <t>ΑΚ270889</t>
  </si>
  <si>
    <t>ΙΩΑΝΝΙΔΟΥ ΕΛΕΝΗ</t>
  </si>
  <si>
    <t>ΑΒ570286</t>
  </si>
  <si>
    <t>ΙΩΑΝΝΙΔΟΥ ΕΛΙΣΑΒΕΤ</t>
  </si>
  <si>
    <t>ΑΕ668633</t>
  </si>
  <si>
    <t>ΙΩΑΝΝΙΔΟΥ ΘΕΑΝΩ</t>
  </si>
  <si>
    <t>ΑΒ015142</t>
  </si>
  <si>
    <t>ΙΩΑΝΝΟΥ ΑΛΕΞΑΝΔΡΑ</t>
  </si>
  <si>
    <t>Τ337867</t>
  </si>
  <si>
    <t>ΙΩΑΝΝΟΥ ΔΗΜΗΤΡΙΟΣ</t>
  </si>
  <si>
    <t>ΑΚ957133</t>
  </si>
  <si>
    <t>ΔΗΜΟΣ ΜΕΤΣΟΒΟΥ ΙΩΑΝΝΙΝΩΝ</t>
  </si>
  <si>
    <t>ΙΩΑΝΝΟΥ ΕΛΕΝΗ</t>
  </si>
  <si>
    <t>Ξ 691805</t>
  </si>
  <si>
    <t xml:space="preserve">ΙΩΑΝΝΟΥ ΘΩΜΑΣ </t>
  </si>
  <si>
    <t>Χ459208</t>
  </si>
  <si>
    <t>ΙΩΑΝΝΟΥ ΜΑΡΙΑΝΘΗ</t>
  </si>
  <si>
    <t>Χ488453</t>
  </si>
  <si>
    <t>ΔΗΜΟΣ ΦΛΩΡΙΝΑΣ ΦΛΩΡΙΝΑΣ</t>
  </si>
  <si>
    <t>ΙΩΣΗΦΙΔΗΣ ΜΙΧΑΗΛ</t>
  </si>
  <si>
    <t>Χ259861</t>
  </si>
  <si>
    <t>ΙΩΣΗΦΙΔΟΥ ΣΒΕΤΛΑΝΑ</t>
  </si>
  <si>
    <t>ΚΟΣ</t>
  </si>
  <si>
    <t>ΑΙ034787</t>
  </si>
  <si>
    <t>ΚΑΒΑΓΚΑ  ΔΗΜΗΤΡΑ</t>
  </si>
  <si>
    <t>Π456392</t>
  </si>
  <si>
    <t>ΚΑΒΑΚΑΚΗ ΚΩΝΣΤΑΝΤΙΝΑ</t>
  </si>
  <si>
    <t>ΑΗ544062</t>
  </si>
  <si>
    <t>ΚΑΒΑΛΕΡΟΥ ΣΤΕΛΛΑ</t>
  </si>
  <si>
    <t>ΑΖ433563</t>
  </si>
  <si>
    <t>ΔΗΜΟΣ ΛΗΜΝΟΥ</t>
  </si>
  <si>
    <t>ΚΑΒΑΛΙΔΗΣ ΕΥΣΤΑΘΙΟΣ</t>
  </si>
  <si>
    <t>ΑΚ068588</t>
  </si>
  <si>
    <t>ΚΑΒΑΛΛΑΡΗΣ ΑΧΙΛΛΕΑΣ</t>
  </si>
  <si>
    <t>Σ626980</t>
  </si>
  <si>
    <t>ΚΑΒΑΛΛΑΡΗΣ ΕΥΑΓΓΕΛΟΣ</t>
  </si>
  <si>
    <t>Ν590288</t>
  </si>
  <si>
    <t>ΚΑΒΒΑΔΙΑΣ ΒΑΣΙΛΕΙΟΣ</t>
  </si>
  <si>
    <t>ΑΖ257633</t>
  </si>
  <si>
    <t>ΚΑΒΟΥΚΛΗΣ ΑΝΤΩΝΙΟΣ</t>
  </si>
  <si>
    <t>ΑΜ075179</t>
  </si>
  <si>
    <t>ΚΑΒΟΥΡΗ ΜΑΡΙΑ</t>
  </si>
  <si>
    <t>Σ703714</t>
  </si>
  <si>
    <t>ΚΑΒΡΟΥΜΑΤΖΗΣ ΕΥΑΓΓΕΛΟΣ</t>
  </si>
  <si>
    <t>ΑΕ931172</t>
  </si>
  <si>
    <t>ΚΑΓΙΟΥΛΗ ΕΥΓΕΝΙΑ</t>
  </si>
  <si>
    <t>ΑΒ080902</t>
  </si>
  <si>
    <t>ΚΑΓΙΟΥΛΗ ΠΗΝΕΛΟΠΗ</t>
  </si>
  <si>
    <t>Σ796821</t>
  </si>
  <si>
    <t>ΔΗΜΟΣ ΒΟΡΕΙΑΣ ΚΥΝΟΥΡΙΑΣ ΑΡΚΑΔΙΑΣ</t>
  </si>
  <si>
    <t>ΚΑΓΙΟΥΛΗΣ ΠΑΝΑΓΙΩΤΗΣ</t>
  </si>
  <si>
    <t>Μ450004</t>
  </si>
  <si>
    <t>ΚΑΓΚΑΡΑΚΗ ΕΥΑΝΘΙΑ</t>
  </si>
  <si>
    <t>Ν479590</t>
  </si>
  <si>
    <t>ΚΑΓΚΑΣΙΔΟΥ ΕΛΕΝΗ</t>
  </si>
  <si>
    <t>Χ178008</t>
  </si>
  <si>
    <t>ΚΑΓΚΙΛΕΒ ΒΛΑΔΙΜΗΡ</t>
  </si>
  <si>
    <t>ΑΒ013859</t>
  </si>
  <si>
    <t>ΚΑΔΕΡΗΣ ΑΘΑΝΑΣΙΟΣ</t>
  </si>
  <si>
    <t>ΑΖ148612</t>
  </si>
  <si>
    <t>ΚΑΔΗΡΟΓΛΟΥ ΑΜΕΤ</t>
  </si>
  <si>
    <t>ΤΖΕ</t>
  </si>
  <si>
    <t>ΑΗ037361</t>
  </si>
  <si>
    <t>ΚΑΔΗΡΟΓΛΟΥ ΟΡΧΑΝ</t>
  </si>
  <si>
    <t>ΑΗ925545</t>
  </si>
  <si>
    <t>ΚΑΖΑΚΗ ΑΛΙΚΗ</t>
  </si>
  <si>
    <t>ΑΙ305256</t>
  </si>
  <si>
    <t>ΚΑΖΑΚΗΣ ΒΑΣΙΛΕΙΟΣ</t>
  </si>
  <si>
    <t>Ν598685</t>
  </si>
  <si>
    <t>ΚΑΖΑΚΟΣ ΑΧΙΛΛΕΑΣ</t>
  </si>
  <si>
    <t>Χ408360</t>
  </si>
  <si>
    <t>ΚΑΖΑΜΙΑΣ ΧΡΗΣΤΟΣ</t>
  </si>
  <si>
    <t>ΑΖ346077</t>
  </si>
  <si>
    <t>ΔΗΜΟΣ ΒΙΣΑΛΤΙΑΣ ΣΕΡΡΩΝ</t>
  </si>
  <si>
    <t>ΚΑΖΑΝΑΣ ΠΑΝΑΓΙΩΤΗΣ</t>
  </si>
  <si>
    <t>ΑΙ622826</t>
  </si>
  <si>
    <t>ΚΑΖΑΝΤΖΗΣ ΑΛΕΞΑΝΔΡΟΣ</t>
  </si>
  <si>
    <t>ΑΖ691823</t>
  </si>
  <si>
    <t>ΚΑΖΑΝΤΖΙΔΗΣ ΑΝΑΣΤΑΣΙΟΣ</t>
  </si>
  <si>
    <t>ΑΙ884058</t>
  </si>
  <si>
    <t>ΚΑΖΑΝΤΖΙΔΗΣ ΠΑΥΛΟΣ</t>
  </si>
  <si>
    <t>ΑΑ411554</t>
  </si>
  <si>
    <t>ΚΑΖΑΝΤΖΙΔΟΥ ΑΘΑΝΑΣΙΑ</t>
  </si>
  <si>
    <t>Χ230128</t>
  </si>
  <si>
    <t>ΚΑΖΑΝΤΖΙΔΟΥ ΕΛΕΝΗ</t>
  </si>
  <si>
    <t>ΑΜ854627</t>
  </si>
  <si>
    <t>ΚΑΖΕΠΗ ΜΑΡΙΝΑ</t>
  </si>
  <si>
    <t>Π067767</t>
  </si>
  <si>
    <t>ΚΑΖΛΑΡΗ ΑΝΝΑ</t>
  </si>
  <si>
    <t>Φ317656</t>
  </si>
  <si>
    <t xml:space="preserve">ΚΑΙΜΑΚΑΜΗΣ ΗΛΙΑΣ </t>
  </si>
  <si>
    <t>Χ475460</t>
  </si>
  <si>
    <t>ΚΑΙΜΑΚΗ ΑΝΘΟΥΛΑ</t>
  </si>
  <si>
    <t>ΑΑ499199</t>
  </si>
  <si>
    <t>ΚΑΙΜΑΚΟΓΛΟΥ ΒΑΣΙΛΙΚΗ</t>
  </si>
  <si>
    <t>ΑΖ502014</t>
  </si>
  <si>
    <t>ΚΑΙΡΑΚΛΙΔΗ NTIANA</t>
  </si>
  <si>
    <t>ΑΚ326456</t>
  </si>
  <si>
    <t>ΚΑΙΡΗΣ ΚΩΝΣΤΑΝΤΙΝΟΣ</t>
  </si>
  <si>
    <t>ΑΗ186508</t>
  </si>
  <si>
    <t>ΚΑΙΤΑΛΙΔΗΣ ΓΕΩΡΓΙΟΣ</t>
  </si>
  <si>
    <t>ΑΒ147161</t>
  </si>
  <si>
    <t>ΚΑΙΤΑΛΙΔΟΥ ΦΙΑΛΛΑ</t>
  </si>
  <si>
    <t>ΑΝ140412</t>
  </si>
  <si>
    <t>ΚΑΚΑΒΑ ΓΕΩΡΓΙΑ</t>
  </si>
  <si>
    <t>ΑΕ283835</t>
  </si>
  <si>
    <t>ΚΑΚΑΒΑ ΚΩΝΣΤΑΝΤΙΝΑ</t>
  </si>
  <si>
    <t>ΑΜ834821</t>
  </si>
  <si>
    <t>ΚΑΚΑΖΑΝΗΣ ΑΘΑΝΑΣΙΟΣ</t>
  </si>
  <si>
    <t>ΑΜ102731</t>
  </si>
  <si>
    <t>ΚΑΚΑΡΑΝΤΖΑ ΣΟΦΙΑ</t>
  </si>
  <si>
    <t>ΑΖ304127</t>
  </si>
  <si>
    <t>ΚΑΚΑΡΗ ΑΘΑΝΑΣΙΑ ΑΝΑΣΤΑΣΙΑ</t>
  </si>
  <si>
    <t>ΑΑ402483</t>
  </si>
  <si>
    <t>ΚΑΚΑΡΩΝΗΣ ΠΑΝΑΓ</t>
  </si>
  <si>
    <t>ΑΒ345613</t>
  </si>
  <si>
    <t>ΚΑΚΑΦΩΝΗ ΕΥΑΝΘΙΑ</t>
  </si>
  <si>
    <t>ΑΒ382561</t>
  </si>
  <si>
    <t xml:space="preserve">ΚΑΚΑΦΩΝΗ ΗΛΕΚΤΡΑ </t>
  </si>
  <si>
    <t>Ν547284</t>
  </si>
  <si>
    <t>ΚΑΚΑΦΩΝΗΣ ΓΕΩΡΓΙΟΣ</t>
  </si>
  <si>
    <t>Π127982</t>
  </si>
  <si>
    <t>ΚΑΚΙΑ ΦΑΝΕΡ</t>
  </si>
  <si>
    <t>ΑΗ946956</t>
  </si>
  <si>
    <t>ΚΑΚΙΑΣ ΙΩΑΝΝΗΣ</t>
  </si>
  <si>
    <t>ΑΙ766740</t>
  </si>
  <si>
    <t>ΚΑΚΙΩΝΗ ΣΤΑΥΡΟΥΛΑ</t>
  </si>
  <si>
    <t>Ρ698318</t>
  </si>
  <si>
    <t>ΚΑΚΚΟΣ ΣΤΕΛΙΟΣ</t>
  </si>
  <si>
    <t>ΑΝ982242</t>
  </si>
  <si>
    <t>ΚΑΚΚΟΥ ΙΩΑΝΝΑ</t>
  </si>
  <si>
    <t>Χ832724</t>
  </si>
  <si>
    <t>ΚΑΚΚΟΥ ΧΡΥΣΟΥΛΑ</t>
  </si>
  <si>
    <t>ΑΝ096663</t>
  </si>
  <si>
    <t>ΚΑΚΛΕΑΣ ΙΩΑΝΝΗΣ</t>
  </si>
  <si>
    <t>ΑΙ022879</t>
  </si>
  <si>
    <t>ΚΑΚΟΓΙΑΝΝΗΣ ΝΙΚΟΛΑΟΣ</t>
  </si>
  <si>
    <t>Χ972751</t>
  </si>
  <si>
    <t>ΚΑΚΟΓΛΟΥ ΚΩΝΣΤΑΝΤΙΝΟΣ</t>
  </si>
  <si>
    <t>Ρ712619</t>
  </si>
  <si>
    <t>ΚΑΚΟΤΑΡΙΤΗ ΚΩΝΣΤΑΝΤΙΝΑ</t>
  </si>
  <si>
    <t>ΑΑ036819</t>
  </si>
  <si>
    <t>ΚΑΛΑΙΔΟΠΟΥΛΟΣ ΙΩΑΝΝΗΣ</t>
  </si>
  <si>
    <t>ΑΜ646329</t>
  </si>
  <si>
    <t>ΚΑΛΑΙΔΟΠΟΥΛΟΥ ΟΛΓΑ</t>
  </si>
  <si>
    <t>ΑΗ136233</t>
  </si>
  <si>
    <t>ΚΑΛΑΙΤΖΑΚΗΣ ΕΛΕΥΘΕΡΙΟΣ</t>
  </si>
  <si>
    <t>ΑΑ464820</t>
  </si>
  <si>
    <t>ΚΑΛΑΙΤΖΑΚΗΣ ΣΠΥΡΙΔΩΝ</t>
  </si>
  <si>
    <t>ΑΒ786443</t>
  </si>
  <si>
    <t>ΚΑΛΑΙΤΖΗ ΓΙΑΣΑΡ</t>
  </si>
  <si>
    <t>Χ188704</t>
  </si>
  <si>
    <t>Δ.Ε.Υ.Α. ΟΡΕΣΤΙΑΔΑΣ</t>
  </si>
  <si>
    <t>ΚΑΛΑΙΤΖΗ ΜΑΡΙΑ</t>
  </si>
  <si>
    <t>Σ322797</t>
  </si>
  <si>
    <t>ΚΑΛΑΙΤΖΗΣ ΣΤΥΛΙΑΝΟΣ</t>
  </si>
  <si>
    <t>ΑΝ225878</t>
  </si>
  <si>
    <t>ΚΑΛΑΙΤΖΗΣ ΧΡΗΣΤΟΣ</t>
  </si>
  <si>
    <t>ΑΚ320568</t>
  </si>
  <si>
    <t>ΚΑΛΑΙΤΖΙΔΗΣ ΓΕΩΡΓΙΟΣ</t>
  </si>
  <si>
    <t>ΑΒ989806</t>
  </si>
  <si>
    <t>ΔΗΜΟΣ ΙΣΤΙΑΙΑΣ ΑΙΔΗΨΟΥ ΕΥΒΟΙΑΣ</t>
  </si>
  <si>
    <t>ΚΑΛΑΙΤΖΙΔΗΣ ΔΑΜΙΑΝΟΣ</t>
  </si>
  <si>
    <t>ΑΜ415901</t>
  </si>
  <si>
    <t>ΚΑΛΑΙΤΖΙΔΗΣ ΝΙΚΟΛΑΟΣ</t>
  </si>
  <si>
    <t>Π803724</t>
  </si>
  <si>
    <t>ΚΑΛΑΙΤΖΙΔΟΥ ΣΤΑΥΡΟΥΛΑ</t>
  </si>
  <si>
    <t>ΑΒ721750</t>
  </si>
  <si>
    <t>ΚΑΛΑΜΙΩΤΗΣ ΓΕΡΑΣΙΜΟΣ</t>
  </si>
  <si>
    <t>ΑΚ616055</t>
  </si>
  <si>
    <t>ΚΑΛΑΜΙΩΤΗΣ ΝΙΚΟΛΑΟΣ</t>
  </si>
  <si>
    <t>ΑΙ991118</t>
  </si>
  <si>
    <t>ΚΑΛΑΜΙΩΤΗΣ ΧΡΥΣΟΒΑΛΑΝΤΗΣ</t>
  </si>
  <si>
    <t>ΑΜ073208</t>
  </si>
  <si>
    <t>ΚΑΛΑΜΠΑΛΙΚΗ ΧΡΙΣΤΙΝΑ</t>
  </si>
  <si>
    <t>ΑΙ048480</t>
  </si>
  <si>
    <t>ΚΑΛΑΜΠΟΥΚΑ ΑΘΗΝΑ</t>
  </si>
  <si>
    <t>Ξ686567</t>
  </si>
  <si>
    <t>ΚΑΛΑΝΙΔΗΣ ΔΗΜΗΤΡΙΟΣ</t>
  </si>
  <si>
    <t>ΑΜ606496</t>
  </si>
  <si>
    <t>ΚΑΛΑΝΤΖΗ ΜΑΡΙΑ</t>
  </si>
  <si>
    <t>ΑΖ519196</t>
  </si>
  <si>
    <t>ΚΑΛΑΝΤΖΗ ΟΛΓΑ</t>
  </si>
  <si>
    <t>Π168392</t>
  </si>
  <si>
    <t>ΚΑΛΑΠΟΘΑΚΗ ΜΑΡΙΑ</t>
  </si>
  <si>
    <t>ΑΜ613935</t>
  </si>
  <si>
    <t>ΚΑΛΑΡΓΥΡΟΣ ΔΑΜΙΑΝΟΣ</t>
  </si>
  <si>
    <t>ΑΗ941318</t>
  </si>
  <si>
    <t>ΔΗΜΟΣ ΑΝΤΙΠΑΡΟΥ</t>
  </si>
  <si>
    <t>ΚΑΛΑΡΙΤΗΣ ΓΕΩΡΓΙΟΣ</t>
  </si>
  <si>
    <t>ΑΜ772790</t>
  </si>
  <si>
    <t>ΔΗΜΟΣ ΔΥΤΙΚΗΣ ΜΑΝΗΣ</t>
  </si>
  <si>
    <t>ΚΑΛΑΤΖΗ ΕΛΙΣΣΑΒΕΤ</t>
  </si>
  <si>
    <t>Ξ262897</t>
  </si>
  <si>
    <t>ΚΑΛΑΦΑΤΗ ΑΡΤΕΜΙΣ</t>
  </si>
  <si>
    <t>Τ043157</t>
  </si>
  <si>
    <t>ΚΑΛΔΗ ΕΛΕΝΗ</t>
  </si>
  <si>
    <t>ΑΒ395143</t>
  </si>
  <si>
    <t>ΚΑΛΕΝΤΖΟΣ ΑΡΙΣΤΕΙΔΗΣ</t>
  </si>
  <si>
    <t>ΑΗ506820</t>
  </si>
  <si>
    <t>ΚΑΛΕΤΣΙΟΥ ΠΑΣΧΑΛΙΑ</t>
  </si>
  <si>
    <t>Χ783372</t>
  </si>
  <si>
    <t>ΚΑΛΗ ΑΓΓΕΛΙΚΗ</t>
  </si>
  <si>
    <t>ΑΙ988800</t>
  </si>
  <si>
    <t>ΚΑΛΗΜΕΡΗ ΓΕΩΡΓΙΑ</t>
  </si>
  <si>
    <t>ΑΑ352813</t>
  </si>
  <si>
    <t>ΚΑΛΗΜΕΡΗ ΣΤΥΛΙΑΝΗ</t>
  </si>
  <si>
    <t>Φ342932</t>
  </si>
  <si>
    <t>ΚΑΛΚΑΝΗΣ ΓΕΩΡΓΙΟΣ</t>
  </si>
  <si>
    <t>Τ224058</t>
  </si>
  <si>
    <t>ΚΑΛΛΕΡΓΗΣ ΠΑΝΑΓΙΩΤΗΣ</t>
  </si>
  <si>
    <t>ΑΝ764085</t>
  </si>
  <si>
    <t>ΚΑΛΛΙΑΝΙΔΗ ΠΑΡΕΣΣΗ</t>
  </si>
  <si>
    <t>ΑΚ755580</t>
  </si>
  <si>
    <t>ΚΑΛΛΙΑΝΙΔΟΥ ΧΑΡΙΚΛΕΙΑ</t>
  </si>
  <si>
    <t>ΑΒ857490</t>
  </si>
  <si>
    <t>ΚΑΛΛΙΑΝΙΩΤΗ ΔΕΣΠΟΙΝΑ</t>
  </si>
  <si>
    <t>Π873635</t>
  </si>
  <si>
    <t>ΔΗΜΟΣ ΚΑΡΥΣΤΟΥ ΕΥΒΟΙΑΣ</t>
  </si>
  <si>
    <t>ΚΑΛΛΙΝΗΣ ΑΠΟΣΤΟΛΟΣ</t>
  </si>
  <si>
    <t>ΑΜ260813</t>
  </si>
  <si>
    <t>ΚΑΛΛΙΟΝΙΔΟΥ ΟΥΡΑΝΙΑ</t>
  </si>
  <si>
    <t>Χ818194</t>
  </si>
  <si>
    <t>ΚΑΛΛΙΣΤΟΣ ΕΥΑΓΓΕΛΟΣ</t>
  </si>
  <si>
    <t>ΑΖ561775</t>
  </si>
  <si>
    <t>ΚΑΛΛΙΤΣΗΣ ΠΑΝΑΓΙΩΤΗΣ</t>
  </si>
  <si>
    <t>ΑΜ590345</t>
  </si>
  <si>
    <t>ΚΑΛΜΟΥΚΗ ΕΛΕΥΘΕΡΙΑ</t>
  </si>
  <si>
    <t>ΑΒ027286</t>
  </si>
  <si>
    <t>ΚΑΛΜΟΥΚΙΔΟΥ ΠΑΡΘΕΝΑ</t>
  </si>
  <si>
    <t>Σ921871</t>
  </si>
  <si>
    <t>ΚΑΛΟΓΕΡΑΚΗΣ ΝΙΚΟΛΑΟΣ</t>
  </si>
  <si>
    <t>ΑΜ289830</t>
  </si>
  <si>
    <t>ΚΑΛΟΓΕΡΑΚΟΣ ΑΝΑΣΤΑΣΙΟΣ</t>
  </si>
  <si>
    <t>Τ419217</t>
  </si>
  <si>
    <t>ΚΑΛΟΓΕΡΟΠΟΥΛΟΣ ΓΕΩΡΓΙΟΣ</t>
  </si>
  <si>
    <t>ΑΖ155428</t>
  </si>
  <si>
    <t>ΚΑΛΟΓΕΡΟΠΟΥΛΟΣ ΔΗΜΗΤΡΙΟΣ</t>
  </si>
  <si>
    <t>ΑΖ710751</t>
  </si>
  <si>
    <t>ΚΑΛΟΓΕΡΟΠΟΥΛΟΥ ΔΗΜΗΤΡΑ ΔΙΟΝΥΣΙΑ</t>
  </si>
  <si>
    <t>ΕΡΡ</t>
  </si>
  <si>
    <t>ΑΚ732580</t>
  </si>
  <si>
    <t>ΚΑΛΟΓΕΡΟΠΟΥΛΟΥ ΕΥΓΕΝΙΑ</t>
  </si>
  <si>
    <t>Σ118974</t>
  </si>
  <si>
    <t>ΚΑΛΟΓΡΗΑ ΒΑΣΙΛΙΚΗ</t>
  </si>
  <si>
    <t>ΑΖ882037</t>
  </si>
  <si>
    <t>ΚΑΛΟΜΟΙΡΗ ΘΕΩΝΗ</t>
  </si>
  <si>
    <t>Π088193</t>
  </si>
  <si>
    <t>ΚΑΛΟΡΜΑΚΗ ΑΡΕΤΗ ΕΛΛΕΝΗ</t>
  </si>
  <si>
    <t>ΑΕ975605</t>
  </si>
  <si>
    <t>ΚΑΛΟΥΔΗ ΕΛΕΝΗ</t>
  </si>
  <si>
    <t>Ρ817203</t>
  </si>
  <si>
    <t>ΚΑΛΟΥΠΗΣ ΧΡΗΣΤΟΣ</t>
  </si>
  <si>
    <t>Ξ233104</t>
  </si>
  <si>
    <t>ΚΑΛΟΥΡΗΣ ΗΡΑΚΛΗΣ</t>
  </si>
  <si>
    <t>ΑΚ089305</t>
  </si>
  <si>
    <t>ΚΑΛΟΥΤΣΑ ΠΟΛΥΞΕΝΗ</t>
  </si>
  <si>
    <t>ΑΚ553116</t>
  </si>
  <si>
    <t>ΚΑΛΟΥΤΣΙΔΗΣ ΝΙΚΟΛΑΟΣ</t>
  </si>
  <si>
    <t>Χ914301</t>
  </si>
  <si>
    <t>ΚΑΛΟΥΤΣΙΔΟΥ ΑΣΠΑΣΙΑ</t>
  </si>
  <si>
    <t>Χ717668</t>
  </si>
  <si>
    <t>ΚΑΛΟΧΡΙΣΤΙΑΝΑΚΗΣ ΓΕΩΡΓ</t>
  </si>
  <si>
    <t>ΖΑΧ</t>
  </si>
  <si>
    <t>ΑΜ253662</t>
  </si>
  <si>
    <t>ΚΑΛΠΑΚΙΔΟΥ ΔΕΣΠΟΙΝΑ</t>
  </si>
  <si>
    <t>ΑΖ409114</t>
  </si>
  <si>
    <t>ΚΑΛΠΑΚΙΔΟΥ ΕΛΠΙΔΑ</t>
  </si>
  <si>
    <t>ΑΕ688002</t>
  </si>
  <si>
    <t>ΚΑΛΠΑΚΙΔΟΥ ΜΑΡΙΑ</t>
  </si>
  <si>
    <t>ΑΜ661857</t>
  </si>
  <si>
    <t>ΚΑΛΠΑΚΟΥΛΑ ΒΑΣΙΛΙΚΗ</t>
  </si>
  <si>
    <t>ΑΖ744575</t>
  </si>
  <si>
    <t>ΚΑΛΤΖΙΔΟΥ ΜΑΡΘΑ</t>
  </si>
  <si>
    <t>ΑΕ169409</t>
  </si>
  <si>
    <t xml:space="preserve">ΚΑΛΤΣΑ ΕΥΑΓΓΕΛΙΑ </t>
  </si>
  <si>
    <t>ΑΗ761750</t>
  </si>
  <si>
    <t>ΚΑΛΤΣΑΠΑ ΒΑΣΙΛΙΚΗ</t>
  </si>
  <si>
    <t>Ρ454612</t>
  </si>
  <si>
    <t>ΥΕ ΠΡΟΣΩΠΙΚΟΥ ΚΑΘΑΡΙΟΤΗΤΑΣ (ΕΡΓΑΤΗΣ - ΥΔΡΟΝΟΜΕΑΣ)</t>
  </si>
  <si>
    <t>ΚΑΛΤΣΗΣ ΗΛΙΑΣ</t>
  </si>
  <si>
    <t>ΑΚ606224</t>
  </si>
  <si>
    <t>ΚΑΛΤΣΙΔΟΥ ΜΑΡΙΚΑ</t>
  </si>
  <si>
    <t>ΑΗ364650</t>
  </si>
  <si>
    <t>ΚΑΛΥΒΑ ΜΑΡΙΑ</t>
  </si>
  <si>
    <t>ΑΙ705100</t>
  </si>
  <si>
    <t>ΚΑΛΥΒΑ ΜΑΡΙΝΑ</t>
  </si>
  <si>
    <t>ΑΙ111935</t>
  </si>
  <si>
    <t>ΚΑΛΥΒΑΣ ΙΩΑΝΝΗΣ</t>
  </si>
  <si>
    <t>ΑΙ840364</t>
  </si>
  <si>
    <t>ΚΑΛΥΒΙΩΤΗΣ ΙΩΑΝΝΗΣ</t>
  </si>
  <si>
    <t>ΑΗ781563</t>
  </si>
  <si>
    <t>ΥΕ ΕΡΓΑΤΩΝ - ΚΑΘΑΡΙΟΤΗΤΑΣ</t>
  </si>
  <si>
    <t>ΚΑΛΥΒΙΩΤΗΣ ΣΤΕΦΑΝΟΣ</t>
  </si>
  <si>
    <t>ΑΒ854191</t>
  </si>
  <si>
    <t>ΚΑΛΦΑ ΦΩΤΕΙΝΗ</t>
  </si>
  <si>
    <t>ΑΝ703295</t>
  </si>
  <si>
    <t>ΚΑΜΑΝΑΤΖΗ ΣΟΦΙΑ</t>
  </si>
  <si>
    <t>Ξ874588</t>
  </si>
  <si>
    <t>ΚΑΜΑΡΗΣ ΚΩΝΣΤΑΝΤΙΝΟΣ</t>
  </si>
  <si>
    <t>ΑΙ709426</t>
  </si>
  <si>
    <t>ΚΑΜΑΡΙΤΗΣ ΓΕΩΡΓΙΟΣ</t>
  </si>
  <si>
    <t>ΑΝ457684</t>
  </si>
  <si>
    <t>ΚΑΜΑΡΟΣ ΣΩΤΗΡΙΟΣ</t>
  </si>
  <si>
    <t>ΑΒ170015</t>
  </si>
  <si>
    <t>ΚΑΜΑΤΑΚΗ ΠΑΡΑΣΚΕΥΗ</t>
  </si>
  <si>
    <t>ΑΗ666037</t>
  </si>
  <si>
    <t>ΚΑΜΕΝΟΥ ΑΛΕΞΑΝΔΡΑ</t>
  </si>
  <si>
    <t>ΑΚ062981</t>
  </si>
  <si>
    <t>ΚΑΜΖΟΛΑΣ ΘΕΟΔΩΡΟΣ</t>
  </si>
  <si>
    <t>ΑΙ236377</t>
  </si>
  <si>
    <t>ΚΑΜΠΑ ΕΥΑΓΓΕΛΙΑ</t>
  </si>
  <si>
    <t>Χ330421</t>
  </si>
  <si>
    <t>ΚΑΜΠΑΓΡΗΓΟΡΗ ΑΜΑΛΙΑ</t>
  </si>
  <si>
    <t>Φ191903</t>
  </si>
  <si>
    <t xml:space="preserve">ΚΑΜΠΑΚΑΚΗ  ΒΑΣΙΛΙΚΗ </t>
  </si>
  <si>
    <t>ΑΙ717458</t>
  </si>
  <si>
    <t>ΚΑΜΠΕΡΗ ΝΕΚΤΑΡΙΑ-ΒΑΣΙΛΙΚΗ</t>
  </si>
  <si>
    <t>ΑΕ242396</t>
  </si>
  <si>
    <t>ΔΗΜΟΣ ΘΕΡΜΟΥ ΑΙΤΩΛΩΑΚΑΡΝΑΝΙΑΣ</t>
  </si>
  <si>
    <t>ΚΑΜΠΕΡΗΣ ΔΗΜΗΤΡΙΟΣ</t>
  </si>
  <si>
    <t>Φ205082</t>
  </si>
  <si>
    <t>ΔΗΜΟΤΙΚΗ ΕΠΙΧΕΙΡΗΣΗ ΥΔΡΕΥΣΗΣ - ΑΠΟΧΕΤΕΥΣΗΣ (Δ.Ε.Υ.Α.) ΔΗΜΟΥ ΑΓΡΙΝΙΟΥ</t>
  </si>
  <si>
    <t>ΚΑΜΠΕΡΗΣ ΕΥΑΓΓΕΛΟΣ</t>
  </si>
  <si>
    <t>ΑΜ325893</t>
  </si>
  <si>
    <t>ΚΑΜΠΕΡΗΣ ΕΥΣΤΑΘΙΟΣ</t>
  </si>
  <si>
    <t>ΑΖ726701</t>
  </si>
  <si>
    <t xml:space="preserve">ΚΑΜΠΕΡΗΣ ΧΡΗΣΤΟΣ </t>
  </si>
  <si>
    <t>ΑΜ067138</t>
  </si>
  <si>
    <t>ΚΑΜΠΟΥΡΗΣ ΒΛΑΣΣΙΟΣ</t>
  </si>
  <si>
    <t>ΑΗ646916</t>
  </si>
  <si>
    <t>ΚΑΜΠΟΥΡΗΣ ΕΜΜΑΝΟΥΗΛ</t>
  </si>
  <si>
    <t>ΑΗ949691</t>
  </si>
  <si>
    <t>ΚΑΜΠΟΥΡΗΣ ΜΙΧΑΗΛ</t>
  </si>
  <si>
    <t>Μ949534</t>
  </si>
  <si>
    <t>ΚΑΜΠΟΥΡΗΣ ΝΙΚΟΛΑΟΣ</t>
  </si>
  <si>
    <t>ΑΗ508552</t>
  </si>
  <si>
    <t>ΚΑΜΠΟΥΡΙΔΗΣ ΙΩΑΝΝΗΣ</t>
  </si>
  <si>
    <t>ΣΩΣ</t>
  </si>
  <si>
    <t>ΑΚ292741</t>
  </si>
  <si>
    <t>ΚΑΜΠΡΑΝΗΣ ΧΡΗΣΤΟΣ</t>
  </si>
  <si>
    <t>ΑΒ389814</t>
  </si>
  <si>
    <t>ΚΑΜΤΣΙΟΥ ΓΕΩΡΓΙΟΣ</t>
  </si>
  <si>
    <t>ΑΚ324157</t>
  </si>
  <si>
    <t>ΚΑΝΑΒΑΚΗΣ ΔΗΜΗΤΡΙΟΣ</t>
  </si>
  <si>
    <t>ΑΗ464384</t>
  </si>
  <si>
    <t>Κανακαρης Δημητρης</t>
  </si>
  <si>
    <t>Χ222301</t>
  </si>
  <si>
    <t>ΚΑΝΑΚΗ ΑΡΓΥΡΩ</t>
  </si>
  <si>
    <t>ΑΚ767172</t>
  </si>
  <si>
    <t>ΚΑΝΑΚΗ ΓΕΩΡΓΙΑ</t>
  </si>
  <si>
    <t>Χ668251</t>
  </si>
  <si>
    <t>ΚΑΝΑΚΗ  ΑΝΝΑ-ΜΑΡΙΑ</t>
  </si>
  <si>
    <t>ΑΙ050907</t>
  </si>
  <si>
    <t>ΚΑΝΑΚΗΣ  ΧΡΗΣΤΟΣ</t>
  </si>
  <si>
    <t>ΑΚ855634</t>
  </si>
  <si>
    <t>ΚΑΝΑΠΙΤΣΑΣ ΝΙΚΟΛΑΟΣ</t>
  </si>
  <si>
    <t>ΑΝ486333</t>
  </si>
  <si>
    <t>ΚΑΝΑΤΑ ΕΙΡΗΝΗ ΧΡΥΣΟΒΑΛΑΝΤΟΥ</t>
  </si>
  <si>
    <t>ΑΙ483215</t>
  </si>
  <si>
    <t>ΚΑΝΑΤΑΣ ΧΡΗΣΤΟΣ</t>
  </si>
  <si>
    <t>ΑΖ988692</t>
  </si>
  <si>
    <t>ΚΑΝΔΕΡΙΤΣΚΑΣ ΓΕΩΡΓΙΟΣ</t>
  </si>
  <si>
    <t>Χ343352</t>
  </si>
  <si>
    <t>ΚΑΝΔΕΡΙΤΣΚΑΣ ΙΩΑΝΝΗΣ</t>
  </si>
  <si>
    <t>Χ344011</t>
  </si>
  <si>
    <t>ΚΑΝΔΡΗ ΣΤΥΛΙΑΝΗ</t>
  </si>
  <si>
    <t>Χ189170</t>
  </si>
  <si>
    <t>ΚΑΝΕΛΗΣ ΣΤΥΛΙΑΝΟΣ</t>
  </si>
  <si>
    <t>ΑΒ936172</t>
  </si>
  <si>
    <t>ΚΑΝΕΛΛΑΚΟΠΟΥΛΟΥ ΜΑΡΙΑ</t>
  </si>
  <si>
    <t>Π483355</t>
  </si>
  <si>
    <t>ΚΑΝΕΛΛΟΠΟΥΛΟΣ ΓΕΩΡΓΙΟΣ</t>
  </si>
  <si>
    <t>ΑΕ639346</t>
  </si>
  <si>
    <t>ΚΑΝΗ ΒΑΣΙΛΙΚΗ</t>
  </si>
  <si>
    <t>ΑΒ776550</t>
  </si>
  <si>
    <t>ΚΑΝΛΗ ΑΡΙΑΔΝΗ</t>
  </si>
  <si>
    <t>Σ769936</t>
  </si>
  <si>
    <t>ΚΑΝΟΥΣΙ ΣΟΚΟΛ</t>
  </si>
  <si>
    <t>ΑΝ024402</t>
  </si>
  <si>
    <t>ΚΑΝΤΑΡΤΖΗ ΜΑΡΙΑ</t>
  </si>
  <si>
    <t>Τ450336</t>
  </si>
  <si>
    <t>ΚΑΝΤΑΡΤΖΗΣ ΧΡΗΣΤΟΣ</t>
  </si>
  <si>
    <t>Τ466553</t>
  </si>
  <si>
    <t>ΚΑΝΤΡΙΒΙΩΤΗ ΕΥΘΥΜΙΑ</t>
  </si>
  <si>
    <t>Ξ286780</t>
  </si>
  <si>
    <t>ΚΑΠΑΚΤΣΗ ΔΕΣΠΟΙΝΑ</t>
  </si>
  <si>
    <t>ΑΕ395444</t>
  </si>
  <si>
    <t>ΚΑΠΑΤΣΩΛΟΥ ΕΥΦΡΟΣΥΝΗ</t>
  </si>
  <si>
    <t>ΑΗ722920</t>
  </si>
  <si>
    <t>ΚΑΠΕΛΛΑΚΗ ΔΗΜΗΤΡΟΥΛΑ</t>
  </si>
  <si>
    <t>ΑΚ333987</t>
  </si>
  <si>
    <t>ΚΑΠΕΛΛΑΚΗ ΕΥΑΓΓΕΛΙΑ</t>
  </si>
  <si>
    <t>ΑΝ036629</t>
  </si>
  <si>
    <t>ΚΑΠΕΛΛΑΚΗ ΜΑΡΙΑΝΘΗ</t>
  </si>
  <si>
    <t>ΑΙ453309</t>
  </si>
  <si>
    <t>ΚΑΠΕΛΛΑΚΗΣ ΔΗΜΗΤΡΙΟΣ</t>
  </si>
  <si>
    <t>Φ431558</t>
  </si>
  <si>
    <t>ΚΑΠΕΡΩΝΗ ΑΙΚΑΤΕΡΙΝΗ</t>
  </si>
  <si>
    <t>Π850643</t>
  </si>
  <si>
    <t>ΚΑΠΕΤΑΝΑΚΗΣ ΒΑΣΙΛΕΙΟΣ</t>
  </si>
  <si>
    <t>ΑΝ370257</t>
  </si>
  <si>
    <t>ΚΑΠΕΤΑΝΑΚΗΣ ΝΕΚΤΑΡΙΟΣ</t>
  </si>
  <si>
    <t>Τ401274</t>
  </si>
  <si>
    <t>ΚΑΠΕΤΑΝΙΟΥ ΜΥΡΟΠΗ</t>
  </si>
  <si>
    <t>ΑΗ656951</t>
  </si>
  <si>
    <t>ΚΑΠΕΤΟΥΡΗ ΣΤΑΥΡΟΥΛΑ</t>
  </si>
  <si>
    <t>ΑΖ293965</t>
  </si>
  <si>
    <t>ΚΑΠΙΤΣΙΜΑΔΗ ΧΡΥΣΟΥΛΑ</t>
  </si>
  <si>
    <t>Χ027203</t>
  </si>
  <si>
    <t>ΚΑΠΛΑΝΗ ΑΡΓΥΡΟΥΛΑ</t>
  </si>
  <si>
    <t>ΑΒ393902</t>
  </si>
  <si>
    <t>ΚΑΠΛΑΝΗ ΝΙΚΟΛΕΤΑ</t>
  </si>
  <si>
    <t>ΑΒ167846</t>
  </si>
  <si>
    <t>ΚΑΠΝΙΑ ΔΙΟΝΥΣΙΑ</t>
  </si>
  <si>
    <t>Ρ236953</t>
  </si>
  <si>
    <t>ΚΑΠΟΔΙΣΤΡΙΑΣ ΝΙΚΟΛΑΟΣ</t>
  </si>
  <si>
    <t>ΑΕ294401</t>
  </si>
  <si>
    <t>Καπουργιαννίδης  Κωνσταντίνος</t>
  </si>
  <si>
    <t>Σωκ</t>
  </si>
  <si>
    <t>Π896897</t>
  </si>
  <si>
    <t>ΚΑΠΟΥΤΣΟΣ ΝΙΚΟΛΑΟΣ</t>
  </si>
  <si>
    <t>ΑΗ442922</t>
  </si>
  <si>
    <t>ΚΑΠΠΑ ΑΙΚΑΤΕΡΙΝΗ</t>
  </si>
  <si>
    <t>Ρ907837</t>
  </si>
  <si>
    <t>ΚΑΠΠΑΣ ΔΗΜΗΤΡΙΟΣ</t>
  </si>
  <si>
    <t>ΑΝ084540</t>
  </si>
  <si>
    <t>ΚΑΠΠΑΣ ΣΤΕΦΑΝΟΣ</t>
  </si>
  <si>
    <t>ΑΖ519857</t>
  </si>
  <si>
    <t>ΚΑΠΡΑΝΗ ΑΣΗΜΕΝΙΑ</t>
  </si>
  <si>
    <t>ΑΚ881402</t>
  </si>
  <si>
    <t>ΚΑΠΡΙΝΙΩΤΗΣ ΔΗΜΗΤΡΗΣ</t>
  </si>
  <si>
    <t>ΑΑ377612</t>
  </si>
  <si>
    <t>ΥΕ ΣΥΝΟΔΩΝ ΑΠΟΡΡΙΜΜΑΤΟΦΟΡΩΝ</t>
  </si>
  <si>
    <t>ΚΑΡΑΒΑΡΣΑΜΗΣ ΓΕΩΡΓΙΟΣ</t>
  </si>
  <si>
    <t>ΑΙ715370</t>
  </si>
  <si>
    <t>ΚΑΡΑΒΑΣΙΛΗ ΓΕΩΡΓΙΑ</t>
  </si>
  <si>
    <t>ΑΗ834507</t>
  </si>
  <si>
    <t>ΚΑΡΑΒΑΣΙΛΗΣ ΝΙΚΟΛΑΟΣ</t>
  </si>
  <si>
    <t>ΑΙ819125</t>
  </si>
  <si>
    <t>ΚΑΡΑΓΕΩΡΓΙΟΥ ΝΙΚΟΛΙΤΣΑ</t>
  </si>
  <si>
    <t>Π743005</t>
  </si>
  <si>
    <t>ΚΑΡΑΓΕΩΡΓΙΟΥ ΟΔΥΣΣΕΑΣ</t>
  </si>
  <si>
    <t>ΑΒ253472</t>
  </si>
  <si>
    <t xml:space="preserve">ΚΑΡΑΓΕΩΡΓΙΟΥ  ΧΑΡΑΛΑΜΠΟΣ </t>
  </si>
  <si>
    <t>ΑΜ261099</t>
  </si>
  <si>
    <t>ΚΑΡΑΓΕΩΡΓΟΠΟΥΛΟΥ ΓΕΩΡΓΙΑ</t>
  </si>
  <si>
    <t>ΑΕ516764</t>
  </si>
  <si>
    <t>ΚΑΡΑΓΕΩΡΓΟΣ ΕΥΑΓΓΕΛΟΣ</t>
  </si>
  <si>
    <t>Τ428128</t>
  </si>
  <si>
    <t>ΚΑΡΑΓΕΩΡΓΟΥ ΓΕΩΡΓΙΑ</t>
  </si>
  <si>
    <t>ΑΕ979714</t>
  </si>
  <si>
    <t>ΚΑΡΑΓΕΩΡΓΟΥ ΜΑΡΙΝΑ</t>
  </si>
  <si>
    <t>Σ979645</t>
  </si>
  <si>
    <t xml:space="preserve">ΚΑΡΑΓΙΑΝΝΑΚΗ ΜΑΓΔΑΛΗΝΗ </t>
  </si>
  <si>
    <t>Τ559067</t>
  </si>
  <si>
    <t>ΥΕ ΕΡΓΑΤΩΝ (ΚΑΘΑΡΙΣΤΡΙΩΝ)</t>
  </si>
  <si>
    <t>ΚΑΡΑΓΙΑΝΝΑΚΗΣ ΓΕΡΑΣΙΜΟΣ</t>
  </si>
  <si>
    <t>ΑΙ947238</t>
  </si>
  <si>
    <t>ΚΑΡΑΓΙΑΝΝΗ ΑΝΑΣΤΑΣΙΑ</t>
  </si>
  <si>
    <t>ΑΚ441841</t>
  </si>
  <si>
    <t>ΚΑΡΑΓΙΑΝΝΗ ΑΝΤΩΝΙΑ</t>
  </si>
  <si>
    <t>ΑΝ492620</t>
  </si>
  <si>
    <t>ΚΑΡΑΓΙΑΝΝΗ ΑΠΟΣΤΟΛΙΑ</t>
  </si>
  <si>
    <t>ΑΙ796359</t>
  </si>
  <si>
    <t>ΚΑΡΑΓΙΑΝΝΗ ΕΙΡΗΝΗ</t>
  </si>
  <si>
    <t>ΑΜ041455</t>
  </si>
  <si>
    <t>ΚΑΡΑΓΙΑΝΝΗ ΖΑΧΑΡΟΥΛΑ</t>
  </si>
  <si>
    <t>ΑΖ765234</t>
  </si>
  <si>
    <t>ΚΑΡΑΓΙΑΝΝΗ ΚΩΝΣΤΑΝΤΙΝΑ</t>
  </si>
  <si>
    <t>Π362020</t>
  </si>
  <si>
    <t>ΚΑΡΑΓΙΑΝΝΗ ΜΑΡΙΑ</t>
  </si>
  <si>
    <t>Σ625892</t>
  </si>
  <si>
    <t>ΑΗ290982</t>
  </si>
  <si>
    <t>ΚΑΡΑΓΙΑΝΝΗ ΜΑΡΙΑΝΘΗ</t>
  </si>
  <si>
    <t>Σ586900</t>
  </si>
  <si>
    <t>ΚΑΡΑΓΙΑΝΝΗ ΝΕΚΤΑΡΙΑ</t>
  </si>
  <si>
    <t>ΑΠ</t>
  </si>
  <si>
    <t>ΑΚ083927</t>
  </si>
  <si>
    <t>ΚΑΡΑΓΙΑΝΝΗ ΠΑΝΑΓΙΩΤΑ</t>
  </si>
  <si>
    <t>Σ012376</t>
  </si>
  <si>
    <t>ΑΚ501735</t>
  </si>
  <si>
    <t>Τ028976</t>
  </si>
  <si>
    <t>ΚΑΡΑΓΙΑΝΝΗ ΣΤΑΥΡΟΥΛΑ</t>
  </si>
  <si>
    <t>Φ055005</t>
  </si>
  <si>
    <t>ΚΑΡΑΓΙΑΝΝΗ ΧΑΡΙΚΛΕΙΑ</t>
  </si>
  <si>
    <t>Φ017693</t>
  </si>
  <si>
    <t>ΚΑΡΑΓΙΑΝΝΗΣ ΔΗΜΗΤΡΙΟΣ</t>
  </si>
  <si>
    <t>Π628686</t>
  </si>
  <si>
    <t>ΚΑΡΑΓΙΑΝΝΗΣ ΘΕΟΦΙΛΟΣ</t>
  </si>
  <si>
    <t>Σ919309</t>
  </si>
  <si>
    <t>ΔΗΜΟΤΙΚΗ ΕΠΙΧΕΙΡΗΣΗ ΥΔΡΕΥΣΗΣ - ΑΠΟΧΕΤΕΥΣΗΣ ΤΕΜΠΩΝ</t>
  </si>
  <si>
    <t>ΥΕ ΕΡΓΑΤΩΝ ΥΔΡΕΥΣΗΣ - ΕΡΓΑΤΩΝ ΓΕΝΙΚΩΝ ΚΑΘΗΚΟΝΤΩΝ</t>
  </si>
  <si>
    <t>ΚΑΡΑΓΙΑΝΝΗΣ ΠΑΝΤΕΛΗΣ</t>
  </si>
  <si>
    <t>Λ399417</t>
  </si>
  <si>
    <t>ΔΗΜΟΣ ΝΙΣΥΡΟΥ ΔΩΔΕΚΑΝΗΣΟΥ</t>
  </si>
  <si>
    <t>ΚΑΡΑΓΙΑΝΝΗΣ ΠΕΤΡΟΣ</t>
  </si>
  <si>
    <t>ΑΗ721409</t>
  </si>
  <si>
    <t xml:space="preserve">ΚΑΡΑΓΙΑΝΝΗΣ  ΣΠΥΡΙΔΩΝ </t>
  </si>
  <si>
    <t>Χ816787</t>
  </si>
  <si>
    <t>ΔΗΜΟΣ ΓΡΕΒΕΝΩΝ</t>
  </si>
  <si>
    <t>ΚΑΡΑΓΙΑΝΝΙΔΗΣ ΘΕΟΦΑΝΗΣ</t>
  </si>
  <si>
    <t>ΑΑ075479</t>
  </si>
  <si>
    <t>ΚΑΡΑΓΙΑΝΝΙΔΗΣ ΙΩΑΝΝΗΣ</t>
  </si>
  <si>
    <t>ΑΗ087661</t>
  </si>
  <si>
    <t>ΚΑΡΑΓΙΑΝΝΙΔΗΣ ΠΕΤΡΟΣ</t>
  </si>
  <si>
    <t>ΑΝ010932</t>
  </si>
  <si>
    <t>ΚΑΡΑΓΙΑΝΝΙΔΗΣ ΧΡΗΣΤΟΣ</t>
  </si>
  <si>
    <t>ΑΙ327223</t>
  </si>
  <si>
    <t>ΚΑΡΑΓΙΩΡΓΗ ΤΡΥΦΩΝΙΤΣΑ</t>
  </si>
  <si>
    <t>Χ685425</t>
  </si>
  <si>
    <t>ΚΑΡΑΓΙΩΡΓΗΣ ΗΛΙΑΣ-ΑΝΔΡΕΑΣ</t>
  </si>
  <si>
    <t>ΑΚ802804</t>
  </si>
  <si>
    <t>ΚΑΡΑΓΙΩΡΓΗΣ ΚΩΝΣΤΑΝΤΙΝΟΣ</t>
  </si>
  <si>
    <t>ΑΣΗ</t>
  </si>
  <si>
    <t>Π498386</t>
  </si>
  <si>
    <t>ΚΑΡΑΓΙΩΡΓΟΥ ΜΑΡΙΑ</t>
  </si>
  <si>
    <t>ΑΒ373095</t>
  </si>
  <si>
    <t>ΚΑΡΑΓΙΩΡΟΓΛΟΥ ΣΤΑΥΡΟΥΛΑ</t>
  </si>
  <si>
    <t>ΑΝ322149</t>
  </si>
  <si>
    <t>ΚΑΡΑΓΚΙΑΒΟΥΡ ΑΛΕΞΑΝΔΡΑ</t>
  </si>
  <si>
    <t>Φ227142</t>
  </si>
  <si>
    <t>ΚΑΡΑΓΚΙΟΖΙΔΗΣ ΣΠΑΡΤΑΚΟΣ</t>
  </si>
  <si>
    <t>ΑΝ397234</t>
  </si>
  <si>
    <t>ΚΑΡΑΓΚΙΟΖΟΓΛΟΥ ΔΕΣΠΟΙΝΑ</t>
  </si>
  <si>
    <t>ΑΚ250235</t>
  </si>
  <si>
    <t>ΚΑΡΑΓΚΟΥΔΙΝΗ ΑΘΑΝΑΣΙΑ</t>
  </si>
  <si>
    <t>ΑΗ161279</t>
  </si>
  <si>
    <t>ΚΑΡΑΓΚΟΥΝΗ ΒΑΡΒΑΡΑ</t>
  </si>
  <si>
    <t>ΑΑ066915</t>
  </si>
  <si>
    <t>ΚΑΡΑΓΚΟΥΝΗ ΟΛΓΑ</t>
  </si>
  <si>
    <t>ΑΖ310458</t>
  </si>
  <si>
    <t>ΚΑΡΑΓΚΟΥΝΗΣ ΒΑΛΕΝΤΙΩΝ</t>
  </si>
  <si>
    <t>ΑΕ556394</t>
  </si>
  <si>
    <t>ΚΑΡΑΓΚΟΥΝΗΣ ΘΩΜΑΣ</t>
  </si>
  <si>
    <t>ΑΗ318544</t>
  </si>
  <si>
    <t>ΚΑΡΑΔΑΓΛΗ ΒΑΣΙΛΙΚΗ</t>
  </si>
  <si>
    <t>ΑΝ381894</t>
  </si>
  <si>
    <t>ΚΑΡΑΔΑΓΛΗΣ ΙΩΑΝΝΗΣ</t>
  </si>
  <si>
    <t>Χ099417</t>
  </si>
  <si>
    <t>ΚΑΡΑΔΗΜΑ ΕΙΡΗΝΗ</t>
  </si>
  <si>
    <t>ΑΖ548807</t>
  </si>
  <si>
    <t>ΚΑΡΑΔΗΜΑ ΕΥΑΓΓΕΛΗ</t>
  </si>
  <si>
    <t>ΑΝ027778</t>
  </si>
  <si>
    <t>ΚΑΡΑΔΗΜΑΣ ΑΘΑΝΑΣΙΟΣ</t>
  </si>
  <si>
    <t>ΑΗ714656</t>
  </si>
  <si>
    <t>ΚΑΡΑΔΗΜΑΣ ΗΛΙΑΣ</t>
  </si>
  <si>
    <t>ΑΝ337255</t>
  </si>
  <si>
    <t>ΚΑΡΑΔΗΜΗΤΡΙΟΣ ΓΕΩΡΓΙΟΣ</t>
  </si>
  <si>
    <t>ΑΑ039443</t>
  </si>
  <si>
    <t>ΚΑΡΑΔΗΜΟΥ ΟΥΡΑΝΙΑ</t>
  </si>
  <si>
    <t>ΑΝ365967</t>
  </si>
  <si>
    <t>ΚΑΡΑΔΟΠΟΥΛΟΥ ΟΥΡΑΝΙΑ</t>
  </si>
  <si>
    <t>Χ709708</t>
  </si>
  <si>
    <t>ΚΑΡΑΗΛΙΑΣ ΣΤΑΥΡΟΣ</t>
  </si>
  <si>
    <t>ΑΙ348043</t>
  </si>
  <si>
    <t>ΚΑΡΑΘΑΝΑΣΗ ΣΤΑΥΡΟΥΛΑ</t>
  </si>
  <si>
    <t>ΑΕ159007</t>
  </si>
  <si>
    <t>ΚΑΡΑΘΑΝΟΥ ΓΙΑΝΝΟΥΛΑ</t>
  </si>
  <si>
    <t>Π438589</t>
  </si>
  <si>
    <t>ΚΑΡΑΚΑΙΣΗ ΒΑΙΑ</t>
  </si>
  <si>
    <t>ΑΝ410404</t>
  </si>
  <si>
    <t>ΚΑΡΑΚΑΞΗΣ ΑΡΙΣΤΕΙΔΗΣ</t>
  </si>
  <si>
    <t>Π212026</t>
  </si>
  <si>
    <t>ΚΑΡΑΚΑΣΙΔΗ ΣΟΦΙΑ</t>
  </si>
  <si>
    <t>Χ207766</t>
  </si>
  <si>
    <t>ΚΑΡΑΚΑΣΙΔΟΥ ΕΛΕΝΗ</t>
  </si>
  <si>
    <t>ΑΒ142197</t>
  </si>
  <si>
    <t>ΚΑΡΑΚΑΣΙΔΟΥ ΜΙΧΑΕΛΑ</t>
  </si>
  <si>
    <t>Τ374381</t>
  </si>
  <si>
    <t>ΚΑΡΑΚΑΣΙΔΟΥ ΣΟΦΙΑ</t>
  </si>
  <si>
    <t>Ρ344384</t>
  </si>
  <si>
    <t>ΚΑΡΑΚΑΣΩΝΗ ΒΑΣΙΛΙΚΗ</t>
  </si>
  <si>
    <t>ΤΖΑ</t>
  </si>
  <si>
    <t>ΑΜ344683</t>
  </si>
  <si>
    <t>ΚΑΡΑΚΑΤΣΑΝΗ ΒΑΣΙΛΙΚΗ</t>
  </si>
  <si>
    <t>Χ897247</t>
  </si>
  <si>
    <t>ΚΑΡΑΚΑΤΣΑΝΗ ΜΑΡΙΑ ΙΩΑΝΝΑ</t>
  </si>
  <si>
    <t>ΑΗ085262</t>
  </si>
  <si>
    <t>ΚΑΡΑΚΙΚΕ ΑΛΕΞΑΝΔΡΑ</t>
  </si>
  <si>
    <t>Τ953282</t>
  </si>
  <si>
    <t>ΚΑΡΑΚΙΤΣΙΟΣ ΓΕΩΡΓΙΟΣ</t>
  </si>
  <si>
    <t>Τ830872</t>
  </si>
  <si>
    <t>ΚΑΡΑΚΙΤΣΟΣ ΧΑΡΑΛΑΜΠΟΣ</t>
  </si>
  <si>
    <t>ΑΚ796341</t>
  </si>
  <si>
    <t>ΚΑΡΑΚΟΖΟΒΑ ΟΛΓΑ</t>
  </si>
  <si>
    <t>ΑΖ819909</t>
  </si>
  <si>
    <t>ΚΑΡΑΚΟΛΗΣ ΣΩΤΗΡΙΟΣ</t>
  </si>
  <si>
    <t>Τ794538</t>
  </si>
  <si>
    <t>ΚΑΡΑΚΟΥΖΙΔΗΣ ΧΡΥΣΟΒΑΛΑΝΤΗΣ</t>
  </si>
  <si>
    <t>Χ887085</t>
  </si>
  <si>
    <t>ΚΑΡΑΚΟΥΣΗ ΒΙΚΤΩΡΙΑ</t>
  </si>
  <si>
    <t>ΑΙ364250</t>
  </si>
  <si>
    <t>ΚΑΡΑΚΩΣΤΑ ΒΛΑΣΙΑ ΕΙΡΗΝΗ</t>
  </si>
  <si>
    <t>Ρ914837</t>
  </si>
  <si>
    <t>ΚΑΡΑΚΩΣΤΑ ΕΥΘΥΜΙΑ</t>
  </si>
  <si>
    <t>ΑΙ162000</t>
  </si>
  <si>
    <t>ΚΑΡΑΚΩΣΤΑΣ ΝΕΚΤΑΡΙΟΣ</t>
  </si>
  <si>
    <t>ΑΚ401855</t>
  </si>
  <si>
    <t>ΚΑΡΑΛΑΖΟΥ ΑΝΑΣΤΑΣΙΑ</t>
  </si>
  <si>
    <t>ΑΖ379802</t>
  </si>
  <si>
    <t>ΚΑΡΑΛΕΥΘΕΡΗ ΑΝΑΣΤΑΣΙΑ</t>
  </si>
  <si>
    <t>ΑΗ792204</t>
  </si>
  <si>
    <t>ΚΑΡΑΛΗ ΒΗΣΣΑΡΙΑ</t>
  </si>
  <si>
    <t>Σ956415</t>
  </si>
  <si>
    <t>ΚΑΡΑΛΗΣ ΘΕΟΔΩΡΟΣ</t>
  </si>
  <si>
    <t>ΑΒ074836</t>
  </si>
  <si>
    <t>ΚΑΡΑΜΑΝΛΑΚΗΣ ΙΩΑΝΝΗΣ</t>
  </si>
  <si>
    <t>Ρ912052</t>
  </si>
  <si>
    <t>ΚΑΡΑΜΑΝΛΗ ΕΥΑΓΓΕΛΙΑ</t>
  </si>
  <si>
    <t>ΑΗ778040</t>
  </si>
  <si>
    <t>ΚΑΡΑΜΑΝΟΥ ΧΡΥΣΟΥΛΑ</t>
  </si>
  <si>
    <t>Χ793677</t>
  </si>
  <si>
    <t>ΚΑΡΑΜΑΤΣΟΥΚΗ ΚΟΚΩΝΑ</t>
  </si>
  <si>
    <t>Ξ880752</t>
  </si>
  <si>
    <t>ΚΑΡΑΜΕΣΙΝΗ ΠΑΝΑΓΙΩ</t>
  </si>
  <si>
    <t>ΑΒ861071</t>
  </si>
  <si>
    <t>ΚΑΡΑΜΗΤΡΟΣ ΚΩΝΣΤΑΝΤΙΝΟΣ</t>
  </si>
  <si>
    <t>Ξ880834</t>
  </si>
  <si>
    <t>ΚΑΡΑΜΗΤΣΟΣ ΙΩΑΝΝΗΣ</t>
  </si>
  <si>
    <t>Φ224694</t>
  </si>
  <si>
    <t>ΚΑΡΑΜΙΝΤΖΑΣ ΒΑΣΙΛΕΙΟΣ</t>
  </si>
  <si>
    <t>ΑΙ686367</t>
  </si>
  <si>
    <t>ΚΑΡΑΜΟΛΕΓΚΟΣ ΝΙΚΟΛΑΟΣ</t>
  </si>
  <si>
    <t>Ρ380035</t>
  </si>
  <si>
    <t>ΚΑΡΑΜΟΥΡΤΖΟΥΝΗ ΟΛΓΑ ΜΑΡΙΑ</t>
  </si>
  <si>
    <t>ΑΙ489686</t>
  </si>
  <si>
    <t>ΚΑΡΑΜΟΥΣΛΗ ΜΑΛΑΜΑΤΗ</t>
  </si>
  <si>
    <t>ΑΗ764597</t>
  </si>
  <si>
    <t>ΚΑΡΑΜΠΑΤΖΑΚΗ ΕΛΕΥΘΕΡΙΑ</t>
  </si>
  <si>
    <t>Ρ529503</t>
  </si>
  <si>
    <t>ΚΑΡΑΜΠΕΛΑ ΕΥΣΤΑΘΙΑ</t>
  </si>
  <si>
    <t>Ξ046361</t>
  </si>
  <si>
    <t>ΚΑΡΑΜΠΙΝΗ ΠΑΡΑΣΚΕΥΗ</t>
  </si>
  <si>
    <t>Τ012687</t>
  </si>
  <si>
    <t>ΚΑΡΑΝΑΣΗ ΜΑΡΙΑ</t>
  </si>
  <si>
    <t>ΑΚ347437</t>
  </si>
  <si>
    <t>ΚΑΡΑΝΑΣΟΥ ΠΑΝΑΓΙΩΤΑ</t>
  </si>
  <si>
    <t>Σ132209</t>
  </si>
  <si>
    <t>ΚΑΡΑΝΑΤΣΟΣ ΙΩΑΝΝΗΣ</t>
  </si>
  <si>
    <t>ΑΚ979495</t>
  </si>
  <si>
    <t>ΚΑΡΑΝΔΡΕΑ ΟΛΓΑ</t>
  </si>
  <si>
    <t>Χ528964</t>
  </si>
  <si>
    <t>ΚΑΡΑΝΙΚΗ ΑΡΣΕΝΙΑ</t>
  </si>
  <si>
    <t>Τ049349</t>
  </si>
  <si>
    <t>ΚΑΡΑΝΙΚΟΛΑ ΜΑΡΙΑ</t>
  </si>
  <si>
    <t>ΑΖ347834</t>
  </si>
  <si>
    <t>ΔΗΜΟΣ ΣΗΤΕΙΑΣ ΛΑΣΙΘΙΟΥ</t>
  </si>
  <si>
    <t>ΚΑΡΑΝΙΚΟΛΑΣ ΔΗΜΗΤΡΙΟΣ</t>
  </si>
  <si>
    <t>ΑΙ326813</t>
  </si>
  <si>
    <t>ΚΑΡΑΝΙΚΟΛΑΣ ΝΙΚΟΛΑΟΣ</t>
  </si>
  <si>
    <t>Χ456408</t>
  </si>
  <si>
    <t>ΚΑΡΑΝΤΖΑΣ ΚΩΝΣΤΑΝΤΙΝΟΣ</t>
  </si>
  <si>
    <t>ΑΙ569326</t>
  </si>
  <si>
    <t>ΚΑΡΑΟΥΛΑΝΗ ΗΡΩ</t>
  </si>
  <si>
    <t>Χ599485</t>
  </si>
  <si>
    <t>ΚΑΡΑΠΑΝΑΓΙΩΤΗΣ ΔΗΜΗΤΡΙΟΣ</t>
  </si>
  <si>
    <t>Φ351640</t>
  </si>
  <si>
    <t>ΚΑΡΑΠΑΝΑΓΙΩΤΙΔΟΥ ΜΑΡΙΝΑ</t>
  </si>
  <si>
    <t>ΑΜ198913</t>
  </si>
  <si>
    <t>ΚΑΡΑΠΑΝΟΥ ΑΓΓΕΛΙΚΗ</t>
  </si>
  <si>
    <t>ΑΒ093941</t>
  </si>
  <si>
    <t>ΚΑΡΑΠΑΝΟΥ ΑΝΑΣΤΑΣΙΑ</t>
  </si>
  <si>
    <t>Χ961844</t>
  </si>
  <si>
    <t>ΚΑΡΑΠΑΝΟΥ ΓΕΩΡΓΙΑ</t>
  </si>
  <si>
    <t>ΑΜ847906</t>
  </si>
  <si>
    <t>ΚΑΡΑΠΑΤΑΚΗ ΕΥΑΝΘΙΑ</t>
  </si>
  <si>
    <t>Π585275</t>
  </si>
  <si>
    <t>ΚΑΡΑΠΑΤΗΣ ΑΛΕΞΑΝΔΡΟΣ ΠΑΝΑΓΙΩΤΗΣ</t>
  </si>
  <si>
    <t>Χ829276</t>
  </si>
  <si>
    <t>ΚΑΡΑΠΙΠΕΡΗ ΑΝΘΟΥΛΑ</t>
  </si>
  <si>
    <t>ΑΙ323799</t>
  </si>
  <si>
    <t>ΚΑΡΑΣΑΒΒΑ ΕΙΡΗΝΗ</t>
  </si>
  <si>
    <t>ΕΠΑ</t>
  </si>
  <si>
    <t>ΑΒ252273</t>
  </si>
  <si>
    <t>ΚΑΡΑΣΑΒΒΙΔΗΣ ΓΕΩΡΓΙΟΣ</t>
  </si>
  <si>
    <t>ΑΗ454266</t>
  </si>
  <si>
    <t>ΚΑΡΑΣΜΑΝΑΚΗΣ ΠΑΣΧΑΛΗΣ</t>
  </si>
  <si>
    <t>Χ444088</t>
  </si>
  <si>
    <t>ΚΑΡΑΣΤΕΡΓΙΟΥ ΖΑΧΑΡΟΥΛΑ</t>
  </si>
  <si>
    <t>Τ452046</t>
  </si>
  <si>
    <t>ΔΗΜΟΤΙΚΗ ΕΠΙΧΕΙΡΗΣΗ ΥΔΡΕΥΣΗΣ, ΑΡΔΕΥΣΗΣ ΚΑΙ ΑΠΟΧΕΤΕΥΣΗΣ ΒΟΪΟΥ</t>
  </si>
  <si>
    <t>ΚΑΡΑΤΑΣΙΔΟΥ ΜΑΡΙΚΑ</t>
  </si>
  <si>
    <t>Ρ844700</t>
  </si>
  <si>
    <t>ΚΑΡΑΤΑΣΙΟΣ ΑΘΑΝΑΣΙΟΣ</t>
  </si>
  <si>
    <t>ΑΙ099576</t>
  </si>
  <si>
    <t>ΚΑΡΑΤΑΣΙΟΥ ΜΑΡΙΑ</t>
  </si>
  <si>
    <t>ΑΒ462870</t>
  </si>
  <si>
    <t>ΚΑΡΑΤΖΑ ΔΗΜΗΤΡΑ</t>
  </si>
  <si>
    <t>ΑΙ041932</t>
  </si>
  <si>
    <t>ΚΑΡΑΤΖΑ ΠΑΡΑΣΚΕΥΗ</t>
  </si>
  <si>
    <t>ΑΚ554684</t>
  </si>
  <si>
    <t>ΚΑΡΑΤΖΑ ΣΟΥΛΤΑΝΑ</t>
  </si>
  <si>
    <t>Σ342648</t>
  </si>
  <si>
    <t>ΚΑΡΑΤΖΑΣ ΓΕΩΡΓΙΟΣ</t>
  </si>
  <si>
    <t>ΓΑΒ</t>
  </si>
  <si>
    <t>ΑΙ968135</t>
  </si>
  <si>
    <t>Καρατζιβα Ελενη</t>
  </si>
  <si>
    <t>Στα</t>
  </si>
  <si>
    <t>Χ246162</t>
  </si>
  <si>
    <t>ΚΑΡΑΤΖΙΟΥ ΑΥΓΟΥΣΤΙΝΑ</t>
  </si>
  <si>
    <t>Ξ663667</t>
  </si>
  <si>
    <t>ΚΑΡΑΤΖΙΟΥΛΑ ΠΑΡΑΣΚΕΥΗ</t>
  </si>
  <si>
    <t>ΑΙ329511</t>
  </si>
  <si>
    <t>ΚΑΡΑΤΣΑΛΙΔΟΥ ΑΛΕΞΑΝΔΡΑ</t>
  </si>
  <si>
    <t>Χ948944</t>
  </si>
  <si>
    <t>ΚΑΡΑΦΛΗ ΕΙΡΗΝΗ</t>
  </si>
  <si>
    <t>ΑΒ215845</t>
  </si>
  <si>
    <t>ΚΑΡΑΧΑΛΙΟΣ ΕΥΑΓΓΕΛΟΣ</t>
  </si>
  <si>
    <t>ΑΖ606863</t>
  </si>
  <si>
    <t>ΚΑΡΑΧΑΛΙΟΥ ΙΩΑΝΝΑ</t>
  </si>
  <si>
    <t>Σ842756</t>
  </si>
  <si>
    <t>ΚΑΡΑΧΑΛΙΟΥ ΧΑΡΑΛΑΜΠΙΑ</t>
  </si>
  <si>
    <t>ΑΜ748639</t>
  </si>
  <si>
    <t>ΚΑΡΑΧΟΥΝΤΡΗ ΙΩΑΝΝΑ</t>
  </si>
  <si>
    <t>Ν484968</t>
  </si>
  <si>
    <t>ΚΑΡΑΧΡΗΣΤΟΥ ΕΤΑΓΓΕΛΙΑ</t>
  </si>
  <si>
    <t>Μ785080</t>
  </si>
  <si>
    <t>ΚΑΡΑΧΡΗΣΤΟΥ ΝΙΚΟΛΙΤΣΑ</t>
  </si>
  <si>
    <t>ΑΜ623365</t>
  </si>
  <si>
    <t>ΚΑΡΒΕΛΑ ΑΓΓΕΛΙΚΗ</t>
  </si>
  <si>
    <t>ΑΕ230934</t>
  </si>
  <si>
    <t>ΚΑΡΒΟΥΝΙΑΡΗ ΚΑΛΛΙΟΠΗ</t>
  </si>
  <si>
    <t>Λ854471</t>
  </si>
  <si>
    <t>ΚΑΡΒΟΥΝΙΔΗΣ ΛΕΩΝΙΔΑΣ</t>
  </si>
  <si>
    <t>Ξ494311</t>
  </si>
  <si>
    <t>ΚΑΡΓΙΑΝΙΩΤΗΣ ΝΙΚΟΛΑΟΣ</t>
  </si>
  <si>
    <t>Ρ510837</t>
  </si>
  <si>
    <t>ΚΑΡΓΙΟΦΥΛΛΗΣ ΠΑΝΤΕΛΕΗΜΩΝ</t>
  </si>
  <si>
    <t>ΑΒ707985</t>
  </si>
  <si>
    <t>ΚΑΡΔΑΜΙΤΣΗ ΜΑΡΙΑ</t>
  </si>
  <si>
    <t>Ρ097985</t>
  </si>
  <si>
    <t xml:space="preserve">Καρδαμιτση Μαρία </t>
  </si>
  <si>
    <t>Ανδ</t>
  </si>
  <si>
    <t>ΑΒ945140</t>
  </si>
  <si>
    <t>ΥΕ ΕΡΓΑΤΩΝ ΑΠΟΧΕΤΕΥΣΗΣ</t>
  </si>
  <si>
    <t>ΚΑΡΔΑΡΗΣ ΔΙΟΝΥΣΙΟΣ</t>
  </si>
  <si>
    <t>Σ131539</t>
  </si>
  <si>
    <t>ΔΗΜΟΤΙΚΗ ΕΠΙΧΕΙΡΗΣΗ ΥΔΡΕΥΣΗΣ ΑΠΟΧΕΤΕΥΣΗΣ (Δ.Ε.Υ.Α.) ΔΗΜΟΥ ΖΑΚΥΝΘΟΥ</t>
  </si>
  <si>
    <t>ΥΕ ΚΛΗΤΗΡΩΝ</t>
  </si>
  <si>
    <t>ΚΑΡΕΛΑ ΑΓΓΕΛΙΚΗ</t>
  </si>
  <si>
    <t>ΑΙ768709</t>
  </si>
  <si>
    <t>ΚΑΡΕΛΟΣ ΘΕΟΔΩΡΟΣ</t>
  </si>
  <si>
    <t>Μ510624</t>
  </si>
  <si>
    <t>ΚΑΡΕΛΟΣ ΝΙΚΟΛΑΟΣ</t>
  </si>
  <si>
    <t>Φ204867</t>
  </si>
  <si>
    <t>ΚΑΡΕΛΟΣ ΧΡΗΣΤΟΣ</t>
  </si>
  <si>
    <t>Φ203129</t>
  </si>
  <si>
    <t>ΚΑΡΙΕΝΤΙΔΗΣ ΓΕΩΡΓΙΟΣ</t>
  </si>
  <si>
    <t>Χ456850</t>
  </si>
  <si>
    <t>ΚΑΡΙΚΑΣ ΣΤΥΛΙΑΝΟΣ</t>
  </si>
  <si>
    <t>ΑΑ341085</t>
  </si>
  <si>
    <t>ΚΑΡΙΜΠΙΔΗ ΙΖΟΛΝΤΑ</t>
  </si>
  <si>
    <t>Χ536433</t>
  </si>
  <si>
    <t>ΚΑΡΙΤΗ ΕΙΡΗΝΗ</t>
  </si>
  <si>
    <t>Φ025108</t>
  </si>
  <si>
    <t>ΚΑΡΙΩΤΗΣ ΣΤΑΜΑΤΙΟΣ</t>
  </si>
  <si>
    <t>ΑΑ340566</t>
  </si>
  <si>
    <t>ΚΑΡΚΑΝΗΣ ΓΕΩΡΓΙΟΣ</t>
  </si>
  <si>
    <t>ΑΖ107378</t>
  </si>
  <si>
    <t>ΚΑΡΚΑΝΙΑ ΑΓΟΡΙΤΣΑ</t>
  </si>
  <si>
    <t>Ν815263</t>
  </si>
  <si>
    <t>ΔΗΜΟΣ ΡΗΓΑ ΦΕΡΑΙΟΥ</t>
  </si>
  <si>
    <t>Καρλαυτη Ελενη</t>
  </si>
  <si>
    <t>ΑΕ264427</t>
  </si>
  <si>
    <t>ΚΑΡΛΕ ΜΑΡΙΑ</t>
  </si>
  <si>
    <t>Π044687</t>
  </si>
  <si>
    <t>ΚΑΡΛΗ ΑΝΔΡΙΑΝΑ</t>
  </si>
  <si>
    <t>ΑΒ301506</t>
  </si>
  <si>
    <t>ΚΑΡΜΕΝΕΛΗΣ ΔΗΜΗΤΡ</t>
  </si>
  <si>
    <t>Ν917087</t>
  </si>
  <si>
    <t>ΚΑΡΝΑΡΗΣ ΝΙΚΟΛΑΟΣ</t>
  </si>
  <si>
    <t>ΑΒ070632</t>
  </si>
  <si>
    <t>ΚΑΡΟΛΕΜΕΑ ΝΙΚΟΛΕΤΤΑ</t>
  </si>
  <si>
    <t>ΑΜ336163</t>
  </si>
  <si>
    <t>ΚΑΡΟΠΟΥΛΟΣ ΗΛΙΑΣ</t>
  </si>
  <si>
    <t>Χ257180</t>
  </si>
  <si>
    <t>ΚΑΡΟΥΜΠΑΛΟΥ ΕΥΓΕΝΙΑ</t>
  </si>
  <si>
    <t>ΑΖ714238</t>
  </si>
  <si>
    <t>ΚΑΡΟΥΣΗΣ ΜΙΧΑΗΛ</t>
  </si>
  <si>
    <t>ΑΝ467673</t>
  </si>
  <si>
    <t>ΚΑΡΠΕΤΟΠΟΥΛΟΥ ΧΡΥΣΟΥΛΑ</t>
  </si>
  <si>
    <t>ΑΗ696580</t>
  </si>
  <si>
    <t>ΚΑΡΠΟΔΙΝΗΣ ΣΤΥΛΙΑΝΟΣ</t>
  </si>
  <si>
    <t>ΑΗ944481</t>
  </si>
  <si>
    <t xml:space="preserve">ΚΑΡΠΟΥΖΙΔΗΣ  ΘΕΟΔΩΡΟΣ </t>
  </si>
  <si>
    <t>ΑΙ110852</t>
  </si>
  <si>
    <t>ΚΑΡΡΑ ΠΑΡΑΣΚΕΥΗ</t>
  </si>
  <si>
    <t>Χ400620</t>
  </si>
  <si>
    <t>ΚΑΡΡΑΣ ΝΙΚΟΛΑΟΣ</t>
  </si>
  <si>
    <t>Ρ059012</t>
  </si>
  <si>
    <t>ΚΑΡΡΑΣ ΠΑΝΑΓΙΩΤΗΣ</t>
  </si>
  <si>
    <t>Ξ125204</t>
  </si>
  <si>
    <t>ΚΑΡΣΑΝΙΔΗΣ ΑΝΤΩΝΗΣ</t>
  </si>
  <si>
    <t>ΑΒ737025</t>
  </si>
  <si>
    <t>ΚΑΡΤΑΣ ΙΩΑΝΝΗΣ</t>
  </si>
  <si>
    <t>Τ796036</t>
  </si>
  <si>
    <t>ΚΑΡΤΣΑΚΗ ΠΟΛΥΞΕΝΗ</t>
  </si>
  <si>
    <t>ΑΗ960778</t>
  </si>
  <si>
    <t>ΚΑΡΤΣΩΝΑΚΗ NIKH</t>
  </si>
  <si>
    <t>ΑΑ496538</t>
  </si>
  <si>
    <t>ΚΑΡΥΔΗ ΑΛΕΞΑΝΔΡΑ</t>
  </si>
  <si>
    <t>Σ435898</t>
  </si>
  <si>
    <t>ΚΑΡΥΔΗΣ ΔΙΟΝΥΣΙΟΣ</t>
  </si>
  <si>
    <t>Ρ577514</t>
  </si>
  <si>
    <t>ΚΑΡΥΔΗΣ ΕΜΜΑΝΟΥΗΛ</t>
  </si>
  <si>
    <t>ΑΙ435240</t>
  </si>
  <si>
    <t>ΚΑΡΥΚΙΑΣ ΧΡΗΣΤΟΣ</t>
  </si>
  <si>
    <t>ΑΚ631680</t>
  </si>
  <si>
    <t>ΚΑΡΥΠΟΓΛΟΥ ΑΝΑΣΤΑΣΙΟΣ</t>
  </si>
  <si>
    <t>ΑΕ689955</t>
  </si>
  <si>
    <t>ΚΑΡΦΗΣ ΠΕΤΡΟΣ</t>
  </si>
  <si>
    <t>ΑΖ222496</t>
  </si>
  <si>
    <t>ΚΑΣΑΜΠΑΛΗ ΕΥΑΓΓΕΛΙΑ</t>
  </si>
  <si>
    <t>ΑΕ825166</t>
  </si>
  <si>
    <t>ΚΑΣΑΜΠΑΛΗΣ ΓΕΩΡΓΙΟΣ</t>
  </si>
  <si>
    <t>Ξ560167</t>
  </si>
  <si>
    <t>ΚΑΣΙΟΥ ΠΑΡΑΣΧΟΣ</t>
  </si>
  <si>
    <t>Ν932672</t>
  </si>
  <si>
    <t>ΚΑΣΙΩΤΗ ΕΙΡΗΝΗ ΧΡΥΣΟΒΑΛΑΝΤΗ</t>
  </si>
  <si>
    <t>ΑΙ933744</t>
  </si>
  <si>
    <t>ΚΑΣΚΑΛΗΣ ΘΩΜΑΣ</t>
  </si>
  <si>
    <t>ΑΖ589239</t>
  </si>
  <si>
    <t>ΚΑΣΚΑΜΠΑΣ ΝΙΚΟΛΑΟΣ</t>
  </si>
  <si>
    <t>Λ941284</t>
  </si>
  <si>
    <t>ΚΑΣΚΑΟΥΤΗΣ ΚΩΝΣΤΑΝΤΙΝΟΣ</t>
  </si>
  <si>
    <t>ΑΒ811477</t>
  </si>
  <si>
    <t>ΚΑΣΚΑΡΑ ΙΩΑΝΝΑ</t>
  </si>
  <si>
    <t>Ν463641</t>
  </si>
  <si>
    <t>ΔΗΜΟΣ ΜΑΝΔΡΑΣ ΕΙΔΥΛΛΙΑΣ</t>
  </si>
  <si>
    <t>ΚΑΣΚΑΣ ΓΕΩΡΓΙΟΣ</t>
  </si>
  <si>
    <t>ΑΚ974764</t>
  </si>
  <si>
    <t>ΔΗΜΟΣ ΥΔΡΑΣ</t>
  </si>
  <si>
    <t>ΚΑΣΜΕΡΙΔΗΣ ΙΩΣΗΦ</t>
  </si>
  <si>
    <t>Σ968569</t>
  </si>
  <si>
    <t>ΚΑΣΜΕΡΙΔΗΣ ΚΩΝΣΤΑΝΤΙΝΟΣ</t>
  </si>
  <si>
    <t>Ν609481</t>
  </si>
  <si>
    <t>ΚΑΣΤΑΜΟΥΛΑΣ ΣΑΒΒΑΣ</t>
  </si>
  <si>
    <t>ΑΕ449224</t>
  </si>
  <si>
    <t>ΚΑΣΤΑΝΙΩΤΗΣ ΓΕΩΡΓΙΟΣ</t>
  </si>
  <si>
    <t>Ν691271</t>
  </si>
  <si>
    <t>ΚΑΣΤΑΝΙΩΤΗΣ ΠΑΝΑΓΙΩΤΗΣ</t>
  </si>
  <si>
    <t>ΑΚ639400</t>
  </si>
  <si>
    <t>ΚΑΣΤΕΛΗΣ ΔΗΜΗΤΡΙΟΣ</t>
  </si>
  <si>
    <t>ΑΝ214957</t>
  </si>
  <si>
    <t>ΚΑΣΤΕΛΙΩΤΗ ΜΑΡΙΑ</t>
  </si>
  <si>
    <t>Χ590042</t>
  </si>
  <si>
    <t>ΚΑΣΤΟΠΟΥΛΟΣ ΣΥΜΕΩΝ</t>
  </si>
  <si>
    <t>ΑΗ299449</t>
  </si>
  <si>
    <t>ΚΑΣΤΟΡΑ ΦΙΛΟΘΕΗ</t>
  </si>
  <si>
    <t>ΑΖ029424</t>
  </si>
  <si>
    <t>ΚΑΣΤΡΙΝΟΥ ΟΥΡΑΝΙΑ</t>
  </si>
  <si>
    <t>Χ144016</t>
  </si>
  <si>
    <t>ΚΑΣΤΡΟΥΝΗ ΜΑΡΙΑ</t>
  </si>
  <si>
    <t>Ν946924</t>
  </si>
  <si>
    <t>ΚΑΤΑΒΑΤΗ ΕΛΕΝΗ</t>
  </si>
  <si>
    <t>ΑΑ111111</t>
  </si>
  <si>
    <t>ΚΑΤΑΡΑΣ ΑΝΑΣΤΑΣΙΟΣ</t>
  </si>
  <si>
    <t>ΑΚ641618</t>
  </si>
  <si>
    <t>ΚΑΤΑΡΑΧΙΑΣ ΚΩΝΣΤΑΝΤΙΝΟΣ</t>
  </si>
  <si>
    <t>ΑΙ832706</t>
  </si>
  <si>
    <t>ΚΑΤΑΧΑΝΑΚΗΣ ΝΙΚΟΛΑΟΣ</t>
  </si>
  <si>
    <t>ΑΗ961023</t>
  </si>
  <si>
    <t>ΚΑΤΕΛΛΑΣ-ΚΑΖΑΜΙΑΣ ΙΩΑΝΝΗΣ</t>
  </si>
  <si>
    <t>ΑΖ673710</t>
  </si>
  <si>
    <t>ΚΑΤΕΡΝΕΛΛΗΣ ΙΩΑΝΝΗΣ</t>
  </si>
  <si>
    <t>Τ525535</t>
  </si>
  <si>
    <t>ΚΑΤΗΓΙΟΡΑΝΗ ΕΛΕΝΗ</t>
  </si>
  <si>
    <t>ΑΝ403689</t>
  </si>
  <si>
    <t>ΚΑΤΗΓΙΟΡΑΝΗ ΝΙΚΟΛΕΤΤΑ</t>
  </si>
  <si>
    <t>ΑΜ123666</t>
  </si>
  <si>
    <t>ΚΑΤΗΡΑ ΧΑΡΑΛΑΜΠΙΑ</t>
  </si>
  <si>
    <t>ΑΙ081513</t>
  </si>
  <si>
    <t>ΚΑΤΙΝΑΣ ΖΗΣΗΣ</t>
  </si>
  <si>
    <t>ΑΙ866390</t>
  </si>
  <si>
    <t>ΚΑΤΙΝΙΟΥ ΜΑΡΙΑ</t>
  </si>
  <si>
    <t>ΑΕ664795</t>
  </si>
  <si>
    <t>ΚΑΤΙΡΤΖΟΓΛΟΥ ΣΤΕΦΑΝΙΑ-ΧΡΙΣΤΙΝΑ</t>
  </si>
  <si>
    <t>ΑΝ041971</t>
  </si>
  <si>
    <t>ΚΑΤΟΓΛΟΥ ΙΩΑΝΝΗΣ</t>
  </si>
  <si>
    <t>Χ033004</t>
  </si>
  <si>
    <t>ΚΑΤΡΑΚΑΖΗ ΠΕΤΡΟΥΛΑ</t>
  </si>
  <si>
    <t>Ξ475363</t>
  </si>
  <si>
    <t>ΚΑΤΣΑΙΤΗ ΠΗΝΕΛΟΠΗ</t>
  </si>
  <si>
    <t>ΑΖ728094</t>
  </si>
  <si>
    <t>ΚΑΤΣΑΙΤΗ ΧΑΡΙΚΛΕΙΑ</t>
  </si>
  <si>
    <t>ΑΜ999255</t>
  </si>
  <si>
    <t>ΚΑΤΣΑΚΙΩΡΙΣ ΝΙΚΟΛΑΟΣ</t>
  </si>
  <si>
    <t>Ν848429</t>
  </si>
  <si>
    <t>ΚΑΤΣΑΜΑΚΙΔΟΥ ΣΤΑΥΡΟΥΛΑ</t>
  </si>
  <si>
    <t>ΑΥΓ</t>
  </si>
  <si>
    <t>ΑΖ624558</t>
  </si>
  <si>
    <t>ΚΑΤΣΑΜΑΣ ΧΑΡΑΛΑΜΠΟΣ</t>
  </si>
  <si>
    <t>Χ111679</t>
  </si>
  <si>
    <t>ΚΑΤΣΑΜΠΑΡΗ ΜΑΡΙΑ</t>
  </si>
  <si>
    <t>ΑΗ533031</t>
  </si>
  <si>
    <t>ΚΑΤΣΑΝΑΣ ΑΘΑΝΑΣΙΟΣ</t>
  </si>
  <si>
    <t>ΑΝ492920</t>
  </si>
  <si>
    <t>ΚΑΤΣΑΝΕΑΣ ΙΩΑΝΝΗΣ</t>
  </si>
  <si>
    <t>Σ266667</t>
  </si>
  <si>
    <t>ΚΑΤΣΑΟΥΝΗ ΖΩΗ</t>
  </si>
  <si>
    <t>Χ481878</t>
  </si>
  <si>
    <t>ΚΑΤΣΑΡΑ ΑΘΑΝΑΣΙΑ</t>
  </si>
  <si>
    <t>Ρ713629</t>
  </si>
  <si>
    <t>ΚΑΤΣΑΡΑ ΣΤΑΜΑΤΙΑ</t>
  </si>
  <si>
    <t>ΑΜ995143</t>
  </si>
  <si>
    <t>ΚΑΤΣΑΡΔΕΛΟΣ ΜΙΧΑΗΛ</t>
  </si>
  <si>
    <t>ΑΚ085658</t>
  </si>
  <si>
    <t>ΚΑΤΣΑΡΗ ΙΩΝΝΑ</t>
  </si>
  <si>
    <t>ΑΑ352638</t>
  </si>
  <si>
    <t>ΚΑΤΣΑΡΗΣ ΑΝΑΣΤΑΣΙΟΣ</t>
  </si>
  <si>
    <t>Χ110249</t>
  </si>
  <si>
    <t>ΚΑΤΣΑΡΗΣ ΒΑΣΙΛΕΙΟΣ</t>
  </si>
  <si>
    <t>ΑΝ512307</t>
  </si>
  <si>
    <t>ΚΑΤΣΑΡΗΣ ΕΥΑΓΓΕΛΟΣ</t>
  </si>
  <si>
    <t>Χ571130</t>
  </si>
  <si>
    <t>ΚΑΤΣΑΡΗΣ ΝΙΚΟΛΑΟΣ</t>
  </si>
  <si>
    <t>ΑΙ991427</t>
  </si>
  <si>
    <t>ΚΑΤΣΑΡΗΣ ΣΤΑΜΑΤΙΟΣ</t>
  </si>
  <si>
    <t>ΑΗ647191</t>
  </si>
  <si>
    <t>Κατσαρι Μαρία</t>
  </si>
  <si>
    <t>ΑΜ517131</t>
  </si>
  <si>
    <t>ΚΑΤΣΑΡΟΣ ΕΥΑΓΓΕΛΟΣ</t>
  </si>
  <si>
    <t>ΑΑ309660</t>
  </si>
  <si>
    <t>ΑΖ274648</t>
  </si>
  <si>
    <t>ΚΑΤΣΑΡΟΣ ΙΩΑΝΝΗΣ</t>
  </si>
  <si>
    <t>ΑΒ104901</t>
  </si>
  <si>
    <t>ΚΑΤΣΑΡΟΣ ΝΕΚΤΑΡΙΟΣ</t>
  </si>
  <si>
    <t>ΑΕ983801</t>
  </si>
  <si>
    <t>ΚΑΤΣΑΡΟΥ ΓΕΩΡΓΙΑ</t>
  </si>
  <si>
    <t>Π851308</t>
  </si>
  <si>
    <t>ΚΑΤΣΑΡΟΥ ΕΙΡΗΝΗ</t>
  </si>
  <si>
    <t>ΑΜ987864</t>
  </si>
  <si>
    <t>ΚΑΤΣΑΡΟΥ ΕΥΑΓΓΕΛΗ</t>
  </si>
  <si>
    <t>ΑΖ766600</t>
  </si>
  <si>
    <t>ΚΑΤΣΗΣ ΠΑΥΛΟΣ</t>
  </si>
  <si>
    <t>ΑΗ792102</t>
  </si>
  <si>
    <t>ΚΑΤΣΙΑΝΑΣ ΒΑΣΙΛΕΙΟΣ</t>
  </si>
  <si>
    <t>Τ945011</t>
  </si>
  <si>
    <t>ΚΑΤΣΙΑΝΟΣ ΧΑΡΑΛ</t>
  </si>
  <si>
    <t>Σ285576</t>
  </si>
  <si>
    <t>ΚΑΤΣΙΑΝΤΩΝΗ ΑΠΟΣΤΟΛΙΑ</t>
  </si>
  <si>
    <t>Τ392342</t>
  </si>
  <si>
    <t>ΚΑΤΣΙΑΝΤΩΝΗ ΕΛΕΥΘΕΡΙΑ</t>
  </si>
  <si>
    <t>Τ474404</t>
  </si>
  <si>
    <t>ΚΑΤΣΙΑΝΤΩΝΗΣ ΔΗΜΗΤΡΙΟΣ</t>
  </si>
  <si>
    <t>ΑΙ838082</t>
  </si>
  <si>
    <t>ΚΑΤΣΙΑΟΥΝΗ ΜΑΡΙΑ</t>
  </si>
  <si>
    <t>ΑΙ317581</t>
  </si>
  <si>
    <t xml:space="preserve">ΚΑΤΣΙΒΕΛΟΣ  ΚΩΝΣΤΑΝΤΙΝΟΣ </t>
  </si>
  <si>
    <t>ΑΒ835955</t>
  </si>
  <si>
    <t>ΚΑΤΣΙΓΙΑΝΝΗ ΙΩΑΝΝΑ</t>
  </si>
  <si>
    <t>ΑΑ311259</t>
  </si>
  <si>
    <t>ΚΑΤΣΙΔΗΣ ΛΑΜΠΡΟΣ</t>
  </si>
  <si>
    <t>ΑΒ836675</t>
  </si>
  <si>
    <t>ΚΑΤΣΙΚΑ ΚΩΝΣΤΑΝΤΙΝΑ</t>
  </si>
  <si>
    <t>Φ037020</t>
  </si>
  <si>
    <t>ΚΑΤΣΙΚΑΣ ΔΗΜΗΤΡΙΟΣ</t>
  </si>
  <si>
    <t>Ρ226965</t>
  </si>
  <si>
    <t>ΚΑΤΣΙΚΗ ΟΥΡΑΝΙΑ</t>
  </si>
  <si>
    <t>Μ329238</t>
  </si>
  <si>
    <t>ΚΑΤΣΙΚΗ ΣΟΦΙΑ</t>
  </si>
  <si>
    <t>Φ100232</t>
  </si>
  <si>
    <t>ΚΑΤΣΙΚΙΔΗΣ ΑΝΔΡΕΑΣ</t>
  </si>
  <si>
    <t>Φ156780</t>
  </si>
  <si>
    <t>ΚΑΤΣΙΚΙΝΗ ΑΘΗΝΑ</t>
  </si>
  <si>
    <t>Τ210348</t>
  </si>
  <si>
    <t>ΚΑΤΣΙΜΑΡΔΟΣ ΒΑΣΙΛΕΙΟΣ</t>
  </si>
  <si>
    <t>Σ257121</t>
  </si>
  <si>
    <t>ΚΑΤΣΙΜΑΡΔΟΥ ΕΛΕΝΗ</t>
  </si>
  <si>
    <t>Φ204405</t>
  </si>
  <si>
    <t>ΚΑΤΣΙΜΑΡΔΟΥ ΜΑΡΙΑ</t>
  </si>
  <si>
    <t>Ρ236969</t>
  </si>
  <si>
    <t>ΚΑΤΣΙΜΕΡΟΣ ΝΙΚΟΛΑΟΣ</t>
  </si>
  <si>
    <t>Φ498980</t>
  </si>
  <si>
    <t>ΚΑΤΣΙΜΟΙΡΗΣ ΠΑΝΑΓ</t>
  </si>
  <si>
    <t>ΑΒ244765</t>
  </si>
  <si>
    <t>ΚΑΤΣΙΜΠΑ ΕΛΕΥΘΕΡΙΑ</t>
  </si>
  <si>
    <t>ΑΑ392711</t>
  </si>
  <si>
    <t>ΚΑΤΣΙΜΠΡΑΣ ΠΑΝΑΓΙΩΤΗΣ</t>
  </si>
  <si>
    <t>Π990723</t>
  </si>
  <si>
    <t>ΚΑΤΣΙΟΥΛΑ ΣΩΤΗΡΙΑ</t>
  </si>
  <si>
    <t>ΑΜ044974</t>
  </si>
  <si>
    <t>ΚΑΤΣΙΡΜΑ ΕΛΙΣΣΑΒΕΤ</t>
  </si>
  <si>
    <t>ΑΝ706685</t>
  </si>
  <si>
    <t>ΚΑΤΣΙΦΗΣ ΑΝΤΩΝΙΟΣ</t>
  </si>
  <si>
    <t>Ν572295</t>
  </si>
  <si>
    <t>ΚΑΤΣΙΦΩΤΗΣ ΙΩΑΝΝΗΣ</t>
  </si>
  <si>
    <t>Χ908458</t>
  </si>
  <si>
    <t>ΚΑΤΣΙΩΝΗ ΑΘΑΝΑΣΙΑ</t>
  </si>
  <si>
    <t>ΑΕ731607</t>
  </si>
  <si>
    <t>ΚΑΤΣΟΥΓΙΑΝΝΟΠΟΥΛΟΣ ΠΑΝΤΕΛΗΣ</t>
  </si>
  <si>
    <t>ΑΒ109957</t>
  </si>
  <si>
    <t>ΚΑΤΩΠΟΔΗ ΣΤΑΜΑΤΑ</t>
  </si>
  <si>
    <t>ΑΡΗ</t>
  </si>
  <si>
    <t>Σ675515</t>
  </si>
  <si>
    <t>ΚΑΤΩΤΡΙΩΤΗΣ ΠΑΝΑΓΙΩΤΗΣ</t>
  </si>
  <si>
    <t>ΑΖ430895</t>
  </si>
  <si>
    <t>ΚΑΥΚΑΛΑ ΕΥΘΑΛΙΑ</t>
  </si>
  <si>
    <t>ΑΙ136891</t>
  </si>
  <si>
    <t>ΚΑΥΚΑΛΙΔΟΥ ΜΑΓΔΑΛΗΝΗ</t>
  </si>
  <si>
    <t>ΑΜ911013</t>
  </si>
  <si>
    <t>ΚΑΥΚΕΛΗ ΣΤΑΥΡΟΥΛΑ</t>
  </si>
  <si>
    <t>ΚΑΥΚΙΑΣ ΑΠΟΣΤΟΛΟΣ</t>
  </si>
  <si>
    <t>Σ659264</t>
  </si>
  <si>
    <t>ΚΑΥΜΑ ΧΑΡΙΚΛΕΙΑ</t>
  </si>
  <si>
    <t>ΑΚ426826</t>
  </si>
  <si>
    <t xml:space="preserve">ΚΑΦΕ ΑΝΝΑ </t>
  </si>
  <si>
    <t>ΑΜ371385</t>
  </si>
  <si>
    <t>ΚΑΦΡΙΤΣΑ ΑΓΛΑΙΑ</t>
  </si>
  <si>
    <t>ΑΙ072927</t>
  </si>
  <si>
    <t>ΚΑΦΡΙΤΣΑ ΑΙΚΑΤΕΡΙΝΗ</t>
  </si>
  <si>
    <t>Φ334178</t>
  </si>
  <si>
    <t>ΚΑΧΡΙΜΑΝΙΔΟΥ ΑΝΝΑ</t>
  </si>
  <si>
    <t>ΑΕ638192</t>
  </si>
  <si>
    <t>ΚΑΨΑΛΗ ΚΩΝΣΤΑΝΤΙΝΑ</t>
  </si>
  <si>
    <t>Λ698837</t>
  </si>
  <si>
    <t>ΚΑΨΗΣ ΒΑΣΙΛΕΙΟΣ</t>
  </si>
  <si>
    <t>Χ338551</t>
  </si>
  <si>
    <t>ΚΑΨΟΚΑΒΑΔΗΣ ΔΗΜΗΤΡΙΟΣ</t>
  </si>
  <si>
    <t>ΑΝ877275</t>
  </si>
  <si>
    <t>ΚΕΒΡΕΚΙΔΟΥ ΣΟΦΙΑ</t>
  </si>
  <si>
    <t>ΑΗ304014</t>
  </si>
  <si>
    <t>ΚΕΖΕΤΖΕΚΗΣ ΠΑΥΛΟΣ</t>
  </si>
  <si>
    <t>ΑΖ132664</t>
  </si>
  <si>
    <t>ΚΕΛΑΣΙΔΟΥ ΕΛΛΑΔΑ</t>
  </si>
  <si>
    <t>ΒΑΛ</t>
  </si>
  <si>
    <t>ΑΚ910556</t>
  </si>
  <si>
    <t>ΚΕΛΕΜΑΝΗΣ ΧΑΡΙΣΙΟΣ</t>
  </si>
  <si>
    <t>ΑΖ301876</t>
  </si>
  <si>
    <t>ΚΕΛΕΟΓΛΟΥ ΚΥΡΙΑΚΗ</t>
  </si>
  <si>
    <t>Τ290745</t>
  </si>
  <si>
    <t>ΚΕΛΕΣΗ ΕΛΕΝΗ</t>
  </si>
  <si>
    <t>ΑΙ371550</t>
  </si>
  <si>
    <t>ΚΕΛΛΗ ΧΡΙΣΤΙΝΑ</t>
  </si>
  <si>
    <t>ΑΙ665878</t>
  </si>
  <si>
    <t>ΚΕΠΕΝΟΣ ΑΝΔΡΕΑΣ</t>
  </si>
  <si>
    <t>ΑΝ247298</t>
  </si>
  <si>
    <t>ΚΕΡΑΜΙΔΑ ΓΕΩΡΓΙΑ</t>
  </si>
  <si>
    <t>Ρ549618</t>
  </si>
  <si>
    <t>ΚΕΡΑΜΙΔΑ ΕΛΕΝΗ-ΜΑΡΙΑ</t>
  </si>
  <si>
    <t>ΑΕ315908</t>
  </si>
  <si>
    <t>ΚΕΡΑΜΙΔΑ  ΣΟΥΛΤΑΝΑ</t>
  </si>
  <si>
    <t>ΑΜ962186</t>
  </si>
  <si>
    <t>ΚΕΡΑΜΙΔΑΣ ΗΛΙΑΣ</t>
  </si>
  <si>
    <t>ΑΜ523497</t>
  </si>
  <si>
    <t>ΚΕΡΑΣΙΩΤΗ AΝΑΣΤΑΣΙΑ</t>
  </si>
  <si>
    <t>ΑΕ049415</t>
  </si>
  <si>
    <t>ΚΕΡΑΣΙΩΤΗ ΠΑΤΡΟΥΛΑ</t>
  </si>
  <si>
    <t>Ρ676617</t>
  </si>
  <si>
    <t>ΚΕΡΕΦΙΔΟΥ ΣΤΕΡΓΙΑΝΗ</t>
  </si>
  <si>
    <t>Σ886532</t>
  </si>
  <si>
    <t>ΚΕΡΜΕΝΙΩΤΗΣ ΠΕΤΡΟΣ</t>
  </si>
  <si>
    <t>Ρ768736</t>
  </si>
  <si>
    <t>ΚΕΡΧΑΝΙΔΟΥ ΜΑΡΙΑ</t>
  </si>
  <si>
    <t>ΑΚ982068</t>
  </si>
  <si>
    <t>ΚΕΣΑΝΙΔΟΥ ΣΤΕΛΛΑ</t>
  </si>
  <si>
    <t>ΑΙ054625</t>
  </si>
  <si>
    <t>ΚΕΣΙΔΗΣ ΙΩΑΝΝΗΣ</t>
  </si>
  <si>
    <t>Χ252907</t>
  </si>
  <si>
    <t>ΚΕΣΙΔΟΥ ΕΡΝΙΝΤΑ</t>
  </si>
  <si>
    <t>ΜΠΟ</t>
  </si>
  <si>
    <t>ΑΜ687422</t>
  </si>
  <si>
    <t>ΚΕΣΙΣΟΓΛΟΥ ΣΤΑΥΡΟΥΛΑ</t>
  </si>
  <si>
    <t>Π471915</t>
  </si>
  <si>
    <t>ΚΕΣΚΙΝΙΔΗΣ ΜΙΧΑΗΛ</t>
  </si>
  <si>
    <t>ΑΝ702123</t>
  </si>
  <si>
    <t>ΚΕΣΟΓΛΙΔΟΥ ΑΝΝΑ</t>
  </si>
  <si>
    <t>Π806038</t>
  </si>
  <si>
    <t>ΚΕΤΑΤΖΙΔΟΥ ΣΤΥΛΙΑΝΗ</t>
  </si>
  <si>
    <t>ΑΚ923995</t>
  </si>
  <si>
    <t>ΚΕΤΣΕΤΖΙΔΟΥ ΟΛΓΑ</t>
  </si>
  <si>
    <t>ΑΜ680337</t>
  </si>
  <si>
    <t>ΚΕΦΑΛΙΑΝΟΣ ΙΩΑΝΝΗΣ</t>
  </si>
  <si>
    <t>Μ942254</t>
  </si>
  <si>
    <t>ΚΕΦΗ ΕΙΡΗΝΗ</t>
  </si>
  <si>
    <t>ΑΖ360427</t>
  </si>
  <si>
    <t>ΚΕΧΑΓΙΑ ΑΙΚΑΤΕΡΙΝΗ</t>
  </si>
  <si>
    <t>Π813682</t>
  </si>
  <si>
    <t>ΚΕΧΑΓΙΑΣ ΕΥΑΓΓΕΛΟΣ</t>
  </si>
  <si>
    <t>ΑΜ708207</t>
  </si>
  <si>
    <t>ΚΕΧΑΓΙΑΣ ΧΡΗΣΤΟΣ</t>
  </si>
  <si>
    <t>ΑΗ335060</t>
  </si>
  <si>
    <t>ΚΕΧΡΗ ΜΑΡΙΝΑ</t>
  </si>
  <si>
    <t>ΑΗ998097</t>
  </si>
  <si>
    <t>ΚΕΧΡΙΩΤΗ ΕΙΡΗΝΗ</t>
  </si>
  <si>
    <t>Τ018651</t>
  </si>
  <si>
    <t>ΚΗΠΑΡΑΚΗΣ ΕΜΜΑΝΟΥΗΛ</t>
  </si>
  <si>
    <t>Χ855077</t>
  </si>
  <si>
    <t>ΚΗΠΟΠΟΥΛΟΣ ΧΡΗΣΤΟΣ</t>
  </si>
  <si>
    <t>ΑΖ812704</t>
  </si>
  <si>
    <t>ΚΗΠΟΥΡΟΥ ΜΑΛΑΜΑΤΗ</t>
  </si>
  <si>
    <t>ΑΙ907096</t>
  </si>
  <si>
    <t>ΚΙΑΤΙΠΗΣ ΧΡΗΣΤΟΣ</t>
  </si>
  <si>
    <t>ΑΜ903238</t>
  </si>
  <si>
    <t>ΚΙΛΙΤΣ ΚΑΛΑΝΤΖΗ ΕΛΕΝΗ</t>
  </si>
  <si>
    <t>ΑΗ060802</t>
  </si>
  <si>
    <t>ΚΙΜΙΤΣΙΔΟΥ ΑΡΙΑΝΝΑ</t>
  </si>
  <si>
    <t>Τ814363</t>
  </si>
  <si>
    <t>ΚΙΜΠΙΖΗΣ ΝΙΚΟΛΑΟΣ</t>
  </si>
  <si>
    <t>Μ351533</t>
  </si>
  <si>
    <t>ΚΙΝΤΣ ΜΟΥΜΙΝ</t>
  </si>
  <si>
    <t>ΑΜ726064</t>
  </si>
  <si>
    <t>ΚΙΟΣΕΟΓΛΟΥ ΓΕΩΡΓΙΑ</t>
  </si>
  <si>
    <t>ΑΕ404371</t>
  </si>
  <si>
    <t>ΚΙΟΣΚΕΡΙΔΟΥ ΚΥΡΙΑΚΗ</t>
  </si>
  <si>
    <t>ΑΜ394378</t>
  </si>
  <si>
    <t>ΚΙΟΥΛΤΕΝΙΑΝ ΑΝΝΑ</t>
  </si>
  <si>
    <t>ΑΜ290918</t>
  </si>
  <si>
    <t>ΚΙΟΥΠΗΣ ΔΗΜΗΤΡΙΟΣ</t>
  </si>
  <si>
    <t>ΑΕ834646</t>
  </si>
  <si>
    <t>ΚΙΟΥΡΤΖΙΔΟΥ ΕΛΕΝΗ</t>
  </si>
  <si>
    <t>ΒΕΝ</t>
  </si>
  <si>
    <t>Χ368175</t>
  </si>
  <si>
    <t>ΚΙΟΥΣΕΣ ΧΡΗΣΤ</t>
  </si>
  <si>
    <t>ΑΑ226824</t>
  </si>
  <si>
    <t>ΚΙΟΥΣΗ ΧΡΙΣΤΙΝΑ</t>
  </si>
  <si>
    <t>ΑΒ534503</t>
  </si>
  <si>
    <t>ΚΙΡΚΙΝΕΖΗΣ ΒΑΣΙΛΕΙΟΣ</t>
  </si>
  <si>
    <t>Ξ801465</t>
  </si>
  <si>
    <t>ΚΙΡΚΙΝΕΖΗΣ ΣΑΒΒΑΣ</t>
  </si>
  <si>
    <t>ΑΗ689332</t>
  </si>
  <si>
    <t>ΚΙΡΚΙΝΕΣ ΠΑΝΑΓΙΩΤΗΣ</t>
  </si>
  <si>
    <t>ΑΙ889955</t>
  </si>
  <si>
    <t>ΚΙΤΣΑ ΜΑΡΙΑ</t>
  </si>
  <si>
    <t>ΑΕ791656</t>
  </si>
  <si>
    <t>ΚΙΤΣΑΣ ΓΕΩΡΓΙΟΣ</t>
  </si>
  <si>
    <t>ΑΑ365160</t>
  </si>
  <si>
    <t>ΚΙΤΣΙΚΟΥΔΗΣ ΑΙΜΙΛ</t>
  </si>
  <si>
    <t>ΑΗ848333</t>
  </si>
  <si>
    <t>ΚΙΤΣΙΟΣ ΙΩΑΝΝΗΣ</t>
  </si>
  <si>
    <t>Χ274977</t>
  </si>
  <si>
    <t>ΚΙΤΣΟΠΟΥΛΟΥ ΕΙΡΗΝΗ</t>
  </si>
  <si>
    <t>Ρ901562</t>
  </si>
  <si>
    <t>ΚΙΤΣΟΣ ΛΑΖΑΡΟΣ</t>
  </si>
  <si>
    <t>Φ340185</t>
  </si>
  <si>
    <t>ΚΙΤΣΟΥ ΑΙΚΑΤΕΡΙΝΗ</t>
  </si>
  <si>
    <t>Τ224615</t>
  </si>
  <si>
    <t>ΚΛΑΔΑΚΗ ΙΩΑΝΝΑ</t>
  </si>
  <si>
    <t>ΑΖ450543</t>
  </si>
  <si>
    <t>ΚΛΑΔΑΚΗΣ ΑΝΔΡΕΑΣ</t>
  </si>
  <si>
    <t>ΑΖ066678</t>
  </si>
  <si>
    <t>ΚΛΑΔΑΣ ΑΝΤΩΝΙΟΣ</t>
  </si>
  <si>
    <t>ΑΝ180097</t>
  </si>
  <si>
    <t>ΚΛΑΔΗΣ ΔΗΜΗΤΡΙΟΣ ΙΑΚΩΒΟΣ</t>
  </si>
  <si>
    <t>ΑΖ554893</t>
  </si>
  <si>
    <t>ΚΛΑΔΟΒΑΣΙΛΑΚΗ ΚΩΣΤΑΝΤΙΝΑ-ΜΑΡΙΝΑ</t>
  </si>
  <si>
    <t>ΑΜ028207</t>
  </si>
  <si>
    <t>ΚΛΑΡΑ ΓΕΩΡΓΙΑ</t>
  </si>
  <si>
    <t>ΑΚ 108297</t>
  </si>
  <si>
    <t>ΚΛΑΡΑΣ ΠΑΝΑΓΙΩΤΗΣ</t>
  </si>
  <si>
    <t>Π501451</t>
  </si>
  <si>
    <t xml:space="preserve">Κλαψινός Γεώργιος </t>
  </si>
  <si>
    <t>Φ490552</t>
  </si>
  <si>
    <t>ΚΛΕΙΔΙΑΣ ΝΙΚΟΛΑΟΣ</t>
  </si>
  <si>
    <t>ΑΒ317717</t>
  </si>
  <si>
    <t>ΚΛΗΡΟΝΟΜΟΣ ΣΤΑΥΡΟΣ</t>
  </si>
  <si>
    <t>ΑΖ581614</t>
  </si>
  <si>
    <t>ΚΛΙΚΗ ΕΛΕΝΗ</t>
  </si>
  <si>
    <t>ΑΕ396473</t>
  </si>
  <si>
    <t>ΚΛΙΜΠΕ ΜΑΡΙΑ</t>
  </si>
  <si>
    <t>X242801</t>
  </si>
  <si>
    <t>ΚΛΙΜΠΕΣ ΒΑΣΙΛΗΣ</t>
  </si>
  <si>
    <t>ΑΑ245664</t>
  </si>
  <si>
    <t>ΚΛΙΜΠΕΣ ΣΤΕΦΑΝΟΣ</t>
  </si>
  <si>
    <t>ΑΜ659077</t>
  </si>
  <si>
    <t>ΚΛΩΝΑΡΙΔΟΥ ΜΑΡΙΑ</t>
  </si>
  <si>
    <t>ΑΜ661859</t>
  </si>
  <si>
    <t>ΔΗΜΟΤΙΚΗ ΕΠΙΧΕΙΡΗΣΗ ΥΔΡΕΥΣΗΣ ΚΑΙ ΑΠΟΧΕΤΕΥΣΗΣ ΩΡΑΙΟΚΑΣΤΡΟΥ (Δ.Ε.Υ.Α.Ω.)</t>
  </si>
  <si>
    <t>ΚΟΓΚΑΣ ΑΝΑΡΓΥΡΟΣ</t>
  </si>
  <si>
    <t>Ν802365</t>
  </si>
  <si>
    <t>ΚΟΓΧΙΛΑΚΗ ΙΩΑΝΝΑ ΜΑΡΙΑ</t>
  </si>
  <si>
    <t>Σ640121</t>
  </si>
  <si>
    <t>ΚΟΖΑΔΙΝΟΣ ΒΑΣΙΛΕΙΟΣ</t>
  </si>
  <si>
    <t>ΑΜ564860</t>
  </si>
  <si>
    <t>ΚΟΖΙΚΟΠΟΥΛΟΥ ΙΩΑΝΝΑ</t>
  </si>
  <si>
    <t>Τ586371</t>
  </si>
  <si>
    <t>ΚΟΖΛΕΚΙΔΟΥ ΣΟΦΙΑ</t>
  </si>
  <si>
    <t>ΑΖ863340</t>
  </si>
  <si>
    <t>ΚΟΖΟΜΠΟΛΗΣ ΧΡΗΣΤΟΣ</t>
  </si>
  <si>
    <t>Π217850</t>
  </si>
  <si>
    <t>ΥΕ ΕΡΓΑΤΩΝ ΥΔΡΟΝΟΜΕΩΝ</t>
  </si>
  <si>
    <t>ΚΟΙΜΤΖΙΔΟΥ ΧΡΥΣΟΥΛΑ</t>
  </si>
  <si>
    <t>Χ891501</t>
  </si>
  <si>
    <t>ΚΟΚΑΒΕΣΗΣ ΡΙΤΣΑΡΝΤ ΦΩΤΙΟΣ</t>
  </si>
  <si>
    <t>ΑΜ560929</t>
  </si>
  <si>
    <t>ΚΟΚΚΑΛΗ ΝΙΚΗ</t>
  </si>
  <si>
    <t>Π949333</t>
  </si>
  <si>
    <t>ΚΟΚΚΑΛΗΣ ΣΩΤΗΡΙΟΣ</t>
  </si>
  <si>
    <t>ΑΕ249738</t>
  </si>
  <si>
    <t>ΚΟΚΚΑΛΙΑΡΗΣ ΝΙΚΟΛΑΟΣ</t>
  </si>
  <si>
    <t>ΑΗ531858</t>
  </si>
  <si>
    <t>ΚΟΚΚΑΣ ΔΗΜΗΤΡΗΣ</t>
  </si>
  <si>
    <t>Ρ395751</t>
  </si>
  <si>
    <t>ΚΟΚΚΑΣ ΣΩΤΗΡΙΟΣ</t>
  </si>
  <si>
    <t>ΑΙ813694</t>
  </si>
  <si>
    <t>ΚΟΚΚΙΝΑΚΗ ΑΙΚΑΤΕΡΙΝΗ</t>
  </si>
  <si>
    <t>ΑΙ436873</t>
  </si>
  <si>
    <t>ΚΟΚΚΙΝΗ ΚΩΝΣΤΑΝΤΙΝΑ</t>
  </si>
  <si>
    <t>ΑΑ324089</t>
  </si>
  <si>
    <t>ΚΟΚΚΙΝΗΣ ΧΡΗΣΤΟΣ</t>
  </si>
  <si>
    <t>Μ451076</t>
  </si>
  <si>
    <t>ΚΟΚΚΙΝΟΒΑΣΙΛΗ ΠΑΝΑΓΙΩΤΑ</t>
  </si>
  <si>
    <t>ΑΕ059300</t>
  </si>
  <si>
    <t>ΚΟΚΚΙΝΟΜΑΛΛΗ ΜΑΡΙΤΣΑ</t>
  </si>
  <si>
    <t>ΑΕ520316</t>
  </si>
  <si>
    <t>ΚΟΚΚΙΝΟΣ ΚΩΝΣΤΑΝΤΙΝΟΣ</t>
  </si>
  <si>
    <t>Ξ952911</t>
  </si>
  <si>
    <t>ΦΟΡΕΑΣ ΔΙΑΧΕΙΡΙΣΗΣ ΣΤΕΡΕΩΝ ΑΠΟΒΛΗΤΩΝ ΒΟΡΕΙΑΣ ΠΕΔΙΑΔΑΣ Α.Ε. Ο.Τ.Α.</t>
  </si>
  <si>
    <t>ΚΟΚΚΙΝΟΥ ΕΛΕΝΗ</t>
  </si>
  <si>
    <t>Χ738501</t>
  </si>
  <si>
    <t>ΚΟΚΚΙΝΟΥ ΜΑΡΙΑ</t>
  </si>
  <si>
    <t>Π966092</t>
  </si>
  <si>
    <t>ΚΟΚΚΟΒΟΣ ΓΕΩΡΓΙΟΣ</t>
  </si>
  <si>
    <t>ΙΣΙ</t>
  </si>
  <si>
    <t>ΑΑ790517</t>
  </si>
  <si>
    <t>ΚΟΚΚΟΛΗ ΕΛΕΝΗ</t>
  </si>
  <si>
    <t>Ρ901818</t>
  </si>
  <si>
    <t>ΚΟΚΚΩΝΗ ΜΑΡΙΑ</t>
  </si>
  <si>
    <t>Χ652336</t>
  </si>
  <si>
    <t>ΚΟΚΚΩΝΗΣ ΣΠΥΡΙΔΩΝ</t>
  </si>
  <si>
    <t>ΑΜ068950</t>
  </si>
  <si>
    <t>ΚΟΚΟΛΑΚΗ ΜΑΡΙΑ</t>
  </si>
  <si>
    <t>ΑΕ466233</t>
  </si>
  <si>
    <t>ΚΟΚΟΡΟΜΥΤΗΣ ΘΕΜΙΣΤΟΚΛΗΣ</t>
  </si>
  <si>
    <t>ΑΝ078293</t>
  </si>
  <si>
    <t>ΚΟΚΩΝΗ ΓΕΡΑΣΙΜΟΥΛΑ</t>
  </si>
  <si>
    <t>Τ086641</t>
  </si>
  <si>
    <t>ΚΟΚΩΝΗΣ ΔΗΜΗΤΡΙΟΣ</t>
  </si>
  <si>
    <t>Σ785635</t>
  </si>
  <si>
    <t>ΚΟΚΩΝΗΣ ΝΙΚΟΛΑΟΣ</t>
  </si>
  <si>
    <t>Φ203004</t>
  </si>
  <si>
    <t>ΔΗΜΟΣ ΑΝΔΡΑΒΙΔΑΣ - ΚΥΛΛΗΝΗΣ</t>
  </si>
  <si>
    <t xml:space="preserve">ΚΟΚΩΝΗΣ ΝΙΚΟΛΑΟΣ </t>
  </si>
  <si>
    <t>ΑΙ642068</t>
  </si>
  <si>
    <t>ΚΟΛΕΛΑΣ ΘΕΟΦΑΝΗΣ</t>
  </si>
  <si>
    <t>ΑΗ707011</t>
  </si>
  <si>
    <t>ΚΟΛΕΝΤΖΟΥ ΕΛΕΝΗ</t>
  </si>
  <si>
    <t>Χ161125</t>
  </si>
  <si>
    <t>ΚΟΛΕΤΣΗΣ ΑΝΑΣΤΑΣΙΟΣ</t>
  </si>
  <si>
    <t>Σ254394</t>
  </si>
  <si>
    <t>ΚΟΛΗΜΕΝΟΣ ΔΗΜΗΤΡΗΣ</t>
  </si>
  <si>
    <t>ΑΚ488999</t>
  </si>
  <si>
    <t>ΚΟΛΗΠΕΤΡΗ ΠΑΝΑΓΙΩΤΑ</t>
  </si>
  <si>
    <t>ΑΒ448020</t>
  </si>
  <si>
    <t>ΔΗΜΟΤΙΚΗ ΕΠΙΧΕΙΡΗΣΗ ΥΔΡΕΥΣΗΣ ΚΑΙ ΑΠΟΧΕΤΕΥΣΗΣ ΒΕΡΟΙΑΣ (Δ.Ε.Υ.Α.Β.)</t>
  </si>
  <si>
    <t>ΚΟΛΙΑΤΣΑ ΝΙΚΟΛΕΤΤΑ</t>
  </si>
  <si>
    <t>Τ127196</t>
  </si>
  <si>
    <t>ΚΟΛΛΑΣ ΓΕΩΡΓΙΟΣ</t>
  </si>
  <si>
    <t>ΑΜ804523</t>
  </si>
  <si>
    <t>ΚΟΛΛΗΜΕΝΟΣ ΑΘΑΝΑΣΙΟΣ</t>
  </si>
  <si>
    <t>Π147854</t>
  </si>
  <si>
    <t>ΔΗΜΟΣ ΑΓΡΑΦΩΝ ΕΥΡΥΤΑΝΙΑΣ</t>
  </si>
  <si>
    <t>ΚΟΛΛΗΜΕΝΟΣ ΜΙΧΑΗΛ</t>
  </si>
  <si>
    <t>Χ180960</t>
  </si>
  <si>
    <t>ΚΟΛΛΙΝΤΖΑΣ ΓΕΩΡΓ</t>
  </si>
  <si>
    <t>Ρ573102</t>
  </si>
  <si>
    <t>ΚΟΛΟΒΟΣ ΚΑΣΣΙΑΝΟΣ</t>
  </si>
  <si>
    <t>ΑΜ205901</t>
  </si>
  <si>
    <t>ΚΟΛΟΒΟΣ ΠΑΝΑΓΙΩΤΗΣ</t>
  </si>
  <si>
    <t>ΑΜ334548</t>
  </si>
  <si>
    <t>ΚΟΛΟΚΟΤΡΩΝΗ ΟΛΓΑ</t>
  </si>
  <si>
    <t>Ρ633736</t>
  </si>
  <si>
    <t>ΚΟΛΟΚΟΤΡΩΝΗΣ ΕΥΑΓΓΕΛΟΣ</t>
  </si>
  <si>
    <t>ΑΗ781753</t>
  </si>
  <si>
    <t>ΚΟΛΟΚΟΥΡΑΣ ΘΕΟΦΑΝΗΣ</t>
  </si>
  <si>
    <t>ΑΒ998276</t>
  </si>
  <si>
    <t>ΚΟΛΟΚΥΘΟΠΟΥΛΟΥ ΜΑΡΓΑΡΙΤΑ</t>
  </si>
  <si>
    <t>Χ040412</t>
  </si>
  <si>
    <t>ΚΟΛΤΣΙΔΟΥ ΕΛΕΝΗ</t>
  </si>
  <si>
    <t>Ρ188725</t>
  </si>
  <si>
    <t>ΚΟΛΩΝΙΑ ΕΛΠΙΔΑ</t>
  </si>
  <si>
    <t>Σ780546</t>
  </si>
  <si>
    <t>ΚΟΜΕΣΙΔΟΥ ΕΛΛΑΔΑ</t>
  </si>
  <si>
    <t>ΑΝ426126</t>
  </si>
  <si>
    <t>ΚΟΜΕΣΙΔΟΥ ΕΡΙΚΑ</t>
  </si>
  <si>
    <t>ΑΝ422351</t>
  </si>
  <si>
    <t>ΚΟΜΙΩΤΗΣ ΙΩΑΝΝΗΣ</t>
  </si>
  <si>
    <t>Π875984</t>
  </si>
  <si>
    <t>ΚΟΜΜΑΤΟΣ ΑΡΓΥΡΙΟΣ</t>
  </si>
  <si>
    <t>Ν840360</t>
  </si>
  <si>
    <t>ΚΟΜΠΟΓΙΑΝΝΗ ΔΗΜΗΤΡΑ</t>
  </si>
  <si>
    <t>Ρ852133</t>
  </si>
  <si>
    <t>ΚΟΜΠΟΡΟΖΟΣ ΦΩΤΙΟΣ</t>
  </si>
  <si>
    <t>ΑΚ347341</t>
  </si>
  <si>
    <t>ΚΟΜΠΟΤΗΣ ΓΑΒΡΙΗΛ</t>
  </si>
  <si>
    <t>ΑΜ336110</t>
  </si>
  <si>
    <t>ΚΟΝΙΑΒΙΤΗ ΜΑΡΙΑ</t>
  </si>
  <si>
    <t>Φ102770</t>
  </si>
  <si>
    <t>ΚΟΝΙΑΡΗΣ ΑΘΑΝΑΣΙΟΣ</t>
  </si>
  <si>
    <t>ΑΚ382793</t>
  </si>
  <si>
    <t>ΚΟΝΙΔΑΣ ΚΩΣΤΑΝΤΙΝΟΣ</t>
  </si>
  <si>
    <t>ΑΖ218733</t>
  </si>
  <si>
    <t>ΚΟΝΙΔΗΣ ΠΑΝΑΓΙΩΤΗΣ</t>
  </si>
  <si>
    <t>ΑΜ666329</t>
  </si>
  <si>
    <t>ΚΟΝΙΤΟΠΟΥΛΟΥ ΚΑΛΟΜΟΙΡΑ</t>
  </si>
  <si>
    <t>ΑΗ591665</t>
  </si>
  <si>
    <t>ΚΟΝΟΦΑΟΥ ΜΑΓΔΑΛΗΝΗ</t>
  </si>
  <si>
    <t>Σ519154</t>
  </si>
  <si>
    <t>ΚΟΝΣΟΥΛΑ ΧΡΥΣΑΝΘΗ</t>
  </si>
  <si>
    <t>ΑΗ184181</t>
  </si>
  <si>
    <t>ΚΟΝΤΑΚΗ ΚΑΛΛΙΟΠΗ</t>
  </si>
  <si>
    <t>ΑΕ466623</t>
  </si>
  <si>
    <t>ΔΗΜΟΣ ΟΡΟΠΕΔΙΟΥ ΛΑΣΙΘΙΟΥ</t>
  </si>
  <si>
    <t>ΚΟΝΤΑΚΟΥ ΒΕΝΕΤΙΑ</t>
  </si>
  <si>
    <t>ΑΖ235359</t>
  </si>
  <si>
    <t>ΚΟΝΤΑΞΑΚΗΣ ΕΜΜΑΝΟΥΗΛ</t>
  </si>
  <si>
    <t>ΑΒ484253</t>
  </si>
  <si>
    <t>ΚΟΝΤΑΞΗ ΠΑΝΑΓΙΟΥΛΑ</t>
  </si>
  <si>
    <t>Ρ031941</t>
  </si>
  <si>
    <t>ΚΟΝΤΑΡΑΚΗΣ ΕΜΜΑΝΟΥΗΛ</t>
  </si>
  <si>
    <t>ΦΡΑ</t>
  </si>
  <si>
    <t>ΑΜ479404</t>
  </si>
  <si>
    <t>ΚΟΝΤΑΡΑΤΟΥ ΣΤΥΛΙΑΝΗ</t>
  </si>
  <si>
    <t>ΑΗ008344</t>
  </si>
  <si>
    <t>ΚΟΝΤΕΛΑΣ ΕΥΣΤΑΘΙΟΣ</t>
  </si>
  <si>
    <t>Π253830</t>
  </si>
  <si>
    <t>ΚΟΝΤΕΛΗ ΣΤΥΛΙΑΝΗ</t>
  </si>
  <si>
    <t>AA115335</t>
  </si>
  <si>
    <t>ΚΟΝΤΙΛΗΣ ΙΩΑΝΝΗΣ</t>
  </si>
  <si>
    <t>Σ500703</t>
  </si>
  <si>
    <t>ΚΟΝΤΟΓΓΟΝΑΣ ΑΠΟΣΤΟΛΟΣ</t>
  </si>
  <si>
    <t>ΑΙ608799</t>
  </si>
  <si>
    <t>ΚΟΝΤΟΓΙΑΝΝΑΤΟΥ ΜΑΡΙΑ</t>
  </si>
  <si>
    <t>Χ676429</t>
  </si>
  <si>
    <t>ΚΟΝΤΟΖΟΥΔΗ ΖΩΗ</t>
  </si>
  <si>
    <t>Σ432750</t>
  </si>
  <si>
    <t>ΚΟΝΤΟΚΩΣΤΑ ΟΥΡΑΝIA</t>
  </si>
  <si>
    <t>Χ645390</t>
  </si>
  <si>
    <t>ΚΟΝΤΟΛΟΥΡΗ ΟΛΓΑ</t>
  </si>
  <si>
    <t>Σ715220</t>
  </si>
  <si>
    <t>ΚΟΝΤΟΜΑΝΩΛΟΠΟΥΛΟΣ ΦΩΤΙΟΣ</t>
  </si>
  <si>
    <t>ΑΕ741701</t>
  </si>
  <si>
    <t>ΚΟΝΤΟΝΗΣ ΕΥΣΤΑΘΙΟΣ</t>
  </si>
  <si>
    <t>Π877312</t>
  </si>
  <si>
    <t>ΔΗΜΟΤΙΚΗ ΕΠΙΧΕΙΡΗΣΗ ΥΔΡΕΥΣΗΣ ΑΠΟΧΕΤΕΥΣΗΣ (Δ.Ε.Υ.Α.) ΣΚΙΑΘΟΥ</t>
  </si>
  <si>
    <t>ΚΟΝΤΟΠΑΝΟΥ ΔΗΜΗΤΡΑ</t>
  </si>
  <si>
    <t>ΑΜ537764</t>
  </si>
  <si>
    <t>ΚΟΝΤΟΠΟΥΛΟΣ ΙΣΑΑΚ</t>
  </si>
  <si>
    <t>ΑΝ372204</t>
  </si>
  <si>
    <t>ΚΟΝΤΟΠΡΙΑΣ ΔΗΜΗΤΡΙΟΣ</t>
  </si>
  <si>
    <t>ΑΗ260534</t>
  </si>
  <si>
    <t>ΚΟΝΤΟΣ ΑΓΓΕΛΟΣ</t>
  </si>
  <si>
    <t>ΑΕ634166</t>
  </si>
  <si>
    <t>ΚΟΝΤΟΣ ΒΛΑΣΙΟΣ</t>
  </si>
  <si>
    <t>Φ216277</t>
  </si>
  <si>
    <t>ΚΟΝΤΟΣ ΙΩΑΝΝΗΣ</t>
  </si>
  <si>
    <t>ΑΕ266993</t>
  </si>
  <si>
    <t>ΚΟΝΤΟΣ ΠΑΝΑΓΙΩΤΗΣ</t>
  </si>
  <si>
    <t>Π539256</t>
  </si>
  <si>
    <t>ΚΟΝΤΟΥ ΓΕΩΡΓΙΑ</t>
  </si>
  <si>
    <t>Ξ308410</t>
  </si>
  <si>
    <t>ΚΟΝΤΟΥ ΠΑΡΑΣΚΕΥΗ</t>
  </si>
  <si>
    <t>Τ198495</t>
  </si>
  <si>
    <t>ΚΟΝΤΟΥΛΑ ΟΥΡΑΝΙΑ</t>
  </si>
  <si>
    <t>Π811323</t>
  </si>
  <si>
    <t>ΚΟΝΤΟΥΛΗ ΜΑΡΙΑ</t>
  </si>
  <si>
    <t>Ρ389307</t>
  </si>
  <si>
    <t>ΚΟΝΤΩΣΗΣ ΛΕΩΝΙΔΑΣ</t>
  </si>
  <si>
    <t>ΑΚ102111</t>
  </si>
  <si>
    <t>ΚΟΠΑΛΙΔΗ ΜΑΡΙΑ</t>
  </si>
  <si>
    <t>ΑΖ127192</t>
  </si>
  <si>
    <t>ΚΟΠΑΝΕΛΛΗΣ ΚΩΝΣΤΑΝΤΙΝΟΣ</t>
  </si>
  <si>
    <t>ΑΖ431564</t>
  </si>
  <si>
    <t>ΚΟΡΑΚΑΣ ΝΙΚΟΣ</t>
  </si>
  <si>
    <t>ΑΙ755985</t>
  </si>
  <si>
    <t>ΚΟΡΑΣΙΔΗ ΧΡΥΣΗ</t>
  </si>
  <si>
    <t>Φ083606</t>
  </si>
  <si>
    <t>ΚΟΡΔΑΜΠΑΛΟΣ ΧΑΡΙΛΑΟΣ</t>
  </si>
  <si>
    <t>Ρ974944</t>
  </si>
  <si>
    <t>ΚΟΡΔΑΝΤΩΝΟΠΟΥΛΟΣ ΕΥΣΤΡΑΤΙΟΣ</t>
  </si>
  <si>
    <t>Τ049268</t>
  </si>
  <si>
    <t>ΚΟΡΕΝΤΙΟΥ ΝΙΚΟΛΕΤΑ</t>
  </si>
  <si>
    <t>Ρ589745</t>
  </si>
  <si>
    <t>ΚΟΡΕΞΕΝΙΔΗΣ ΝΙΚΟΛΑΟΣ</t>
  </si>
  <si>
    <t>ΑΙ733724</t>
  </si>
  <si>
    <t>ΚΟΡΙΑΝΙΤΗΣ ΔΙΟΝΥΣΙΟΣ</t>
  </si>
  <si>
    <t>ΑΜ089289</t>
  </si>
  <si>
    <t>ΚΟΡΙΚΗ ΜΑΓΔΑΛΗΝΗ</t>
  </si>
  <si>
    <t>ΑΜ355243</t>
  </si>
  <si>
    <t>ΚΟΡΚΙΔΗΣ ΙΩΑΝΝΗΣ</t>
  </si>
  <si>
    <t>Χ108344</t>
  </si>
  <si>
    <t>ΚΟΡΚΟΛΗ ΑΝΝΑ</t>
  </si>
  <si>
    <t>Φ362128</t>
  </si>
  <si>
    <t>ΚΟΡΚΟΛΗΣ ΑΝΤΩΝΙΟΣ</t>
  </si>
  <si>
    <t>Ρ306954</t>
  </si>
  <si>
    <t>ΚΟΡΜΟΠΟΥΛΟΥ ΕΥΑΓΓΕΛΙΑ</t>
  </si>
  <si>
    <t>ΑΖ352452</t>
  </si>
  <si>
    <t>ΚΟΡΜΠΑΚΗΣ ΔΙΟΝΥΣΙΟΣ</t>
  </si>
  <si>
    <t>Σ282244</t>
  </si>
  <si>
    <t>ΚΟΡΟΒΕΣΗ ΓΕΩΡΓΙΑ</t>
  </si>
  <si>
    <t>Π532408</t>
  </si>
  <si>
    <t>ΚΟΡΟΚΟΚΟΣ ΙΩΑΝΝΗΣ</t>
  </si>
  <si>
    <t>ΑΗ216169</t>
  </si>
  <si>
    <t>ΚΟΡΟΜΗΛΑ ΜΑΡΙΑ</t>
  </si>
  <si>
    <t>ΑΒ500362</t>
  </si>
  <si>
    <t>ΚΟΡΟΜΗΛΑΣ ΓΕΩΡΓΙΟΣ</t>
  </si>
  <si>
    <t>ΑΕ745374</t>
  </si>
  <si>
    <t>ΚΟΡΟΜΗΛΑΣ ΘΕΟΦΑΝΗΣ</t>
  </si>
  <si>
    <t>Τ261862</t>
  </si>
  <si>
    <t>ΚΟΡΟΣ ΙΩΑΝΝΗΣ</t>
  </si>
  <si>
    <t>Φ256976</t>
  </si>
  <si>
    <t>ΚΟΡΟΣΙΔΟΥ ΑΘΑΝΑΣΙΑ</t>
  </si>
  <si>
    <t>Χ763908</t>
  </si>
  <si>
    <t>ΚΟΡΟΣΙΔΟΥ ΦΑΝΗ</t>
  </si>
  <si>
    <t>Χ227703</t>
  </si>
  <si>
    <t>ΚΟΡΡΑ ΠΑΝΔΩΡΑ</t>
  </si>
  <si>
    <t>Χ487481</t>
  </si>
  <si>
    <t>ΚΟΡΡΕ ΑΝΤΩΝΙΑ</t>
  </si>
  <si>
    <t>ΑΚ134320</t>
  </si>
  <si>
    <t>ΚΟΡΩΝΑΙΟΣ ΧΡΥΣΟΣΤΟΜΟΣ</t>
  </si>
  <si>
    <t>ΑΗ249153</t>
  </si>
  <si>
    <t>ΚΟΡΩΝΙΟΣ ΑΝΑΣΤΑΣΙΟΣ</t>
  </si>
  <si>
    <t>Ρ381403</t>
  </si>
  <si>
    <t>ΚΟΡΩΝΙΟΣ ΜΙΧΑΗΛ</t>
  </si>
  <si>
    <t>ΑΒ510549</t>
  </si>
  <si>
    <t>ΚΟΣΙΩΡΗ ΜΑΡΙΝΑ</t>
  </si>
  <si>
    <t>ΑΕ769651</t>
  </si>
  <si>
    <t>ΚΟΣΚΕΡΟΓΛΟΥ ΝΕΖΧΕ</t>
  </si>
  <si>
    <t>ΝΑΙ</t>
  </si>
  <si>
    <t>ΑΚ823711</t>
  </si>
  <si>
    <t>ΚΟΣΜΑ ΑΝΘΟΥΛΑ</t>
  </si>
  <si>
    <t>Ρ778242</t>
  </si>
  <si>
    <t>ΚΟΣΜΑ ΒΑΣΙΛΙΚΗ</t>
  </si>
  <si>
    <t>ΑΙ832909</t>
  </si>
  <si>
    <t>ΚΟΣΜΑ ΔΗΜΗΤΡΑ</t>
  </si>
  <si>
    <t>ΑΖ211743</t>
  </si>
  <si>
    <t>ΚΟΣΜΑ ΕΥΘΥΜΙΑ</t>
  </si>
  <si>
    <t>Σ458859</t>
  </si>
  <si>
    <t>ΚΟΣΜΑ ΠΟΛΥΞΕΝΗ</t>
  </si>
  <si>
    <t>ΑΝ852927</t>
  </si>
  <si>
    <t>ΚΟΣΜΑΣ ΓΕΩΡΓΙΟΣ</t>
  </si>
  <si>
    <t>ΑΗ837519</t>
  </si>
  <si>
    <t>ΚΟΣΜΑΣ ΠΑΠΑΔΟΠΟΥΛΟΣ</t>
  </si>
  <si>
    <t>ΑΗ532428</t>
  </si>
  <si>
    <t>ΚΟΣΜΙΔΗΣ ΘΕΟΔΩΡΟΣ</t>
  </si>
  <si>
    <t>Ρ112589</t>
  </si>
  <si>
    <t>ΚΟΣΜΙΔΗΣ ΚΩΝΣΤΑΝΤΙΝΟΣ</t>
  </si>
  <si>
    <t>ΑΜ123761</t>
  </si>
  <si>
    <t>ΚΟΣΜΙΔΗΣ ΝΙΚΟΛΑΟΣ</t>
  </si>
  <si>
    <t>Χ703609</t>
  </si>
  <si>
    <t>ΚΟΣΜΙΔΟΥ ΑΙΚΑΤΕΡΙΝΗ</t>
  </si>
  <si>
    <t>Ν360367</t>
  </si>
  <si>
    <t>ΚΟΣΜΙΔΟΥ ΟΛΓΑ</t>
  </si>
  <si>
    <t>ΑΙ183844</t>
  </si>
  <si>
    <t>ΚΟΣΜΟΠΟΥΛΟΥ ΓΕΩΡΓΙΑ</t>
  </si>
  <si>
    <t>ΑΗ854501</t>
  </si>
  <si>
    <t>ΚΟΣΟΥΛΑ ΔΑΦΝΗ</t>
  </si>
  <si>
    <t>ΑΙ281662</t>
  </si>
  <si>
    <t>ΚΟΣΟΦΙΔΗΣ ΚΩΝΣΤΑΝΤΙΝΟΣ</t>
  </si>
  <si>
    <t>ΑΖ694912</t>
  </si>
  <si>
    <t>ΚΟΣΣΙΟΣ ΠΑΝΑΓΙΩΤΗΣ</t>
  </si>
  <si>
    <t>ΑΑ327120</t>
  </si>
  <si>
    <t>ΚΟΣΣΥΒΑ ΣΤΑΥΡΟΥΛΑ</t>
  </si>
  <si>
    <t>Ρ415244</t>
  </si>
  <si>
    <t>ΚΟΣΩΝΗ ΑΡΓΥΡΟΥΛΑ</t>
  </si>
  <si>
    <t>ΑΜ998455</t>
  </si>
  <si>
    <t>ΚΟΣΩΝΗ ΚΥΡΙΑΚΟΥΛΑ</t>
  </si>
  <si>
    <t>Ρ275569</t>
  </si>
  <si>
    <t>ΚΟΤΖΑΙΤΣΗ ΜΑΡΙΑ</t>
  </si>
  <si>
    <t>ΑΗ291371</t>
  </si>
  <si>
    <t>ΚΟΤΖΑΚΕΛΙΝΗΣ ΣΤΑΥΡΟΣ</t>
  </si>
  <si>
    <t>ΑΕ766796</t>
  </si>
  <si>
    <t>ΚΟΤΖΑΜΑΝΗ ΑΝΑΣΤΑΣΙΑ</t>
  </si>
  <si>
    <t>Χ224648</t>
  </si>
  <si>
    <t>ΚΟΤΖΑΠΑΝΑΓΙΩΤΗ ΕΙΡΗΝΗ</t>
  </si>
  <si>
    <t>ΑΙ673434</t>
  </si>
  <si>
    <t>ΚΟΤΖΑΠΑΝΑΓΙΩΤΗΣ ΓΕΩΡΓΙΟΣ</t>
  </si>
  <si>
    <t>ΑΝ407543</t>
  </si>
  <si>
    <t>ΚΟΤΖΙΑ ΑΧΜΕΤ</t>
  </si>
  <si>
    <t>Χ831907</t>
  </si>
  <si>
    <t>ΚΟΤΖΙΑ ΙΣΜΑΗΛ</t>
  </si>
  <si>
    <t>ΑΖ984785</t>
  </si>
  <si>
    <t>ΚΟΤΟΓΛΟΥ ΑΝΝΑ</t>
  </si>
  <si>
    <t>ΑΝ222607</t>
  </si>
  <si>
    <t>ΚΟΤΟΥΜΠΑΣ ΔΗΜΗΤΡΙΟΣ</t>
  </si>
  <si>
    <t>Ν837894</t>
  </si>
  <si>
    <t>ΚΟΤΡΙΚΛΑΣ ΔΗΜΗΤΡΙΟΣ</t>
  </si>
  <si>
    <t>ΑΖ990316</t>
  </si>
  <si>
    <t>ΚΟΤΡΟΥΜΠΑ ΟΥΡΑΝΙΑ</t>
  </si>
  <si>
    <t>ΑΕ354777</t>
  </si>
  <si>
    <t>ΚΟΤΣΑΚΗ ΒΑΣΙΛΙΚΗ</t>
  </si>
  <si>
    <t>ΑΑ466884</t>
  </si>
  <si>
    <t>ΚΟΤΣΑΜΠΑΣΗΣ ΓΕΩΡΓΙΟΣ</t>
  </si>
  <si>
    <t>Ρ748474</t>
  </si>
  <si>
    <t>ΚΟΤΣΑΠΤΗ ΓΕΩΡΓΙΑ</t>
  </si>
  <si>
    <t>Σ039565</t>
  </si>
  <si>
    <t>ΚΟΤΣΑΦΤΗ ΑΓΓΕΛΙΚΗ</t>
  </si>
  <si>
    <t>Ρ888228</t>
  </si>
  <si>
    <t>ΚΟΤΣΗΣ ΓΡΗΓΟΡΙΟΣ</t>
  </si>
  <si>
    <t>Χ883770</t>
  </si>
  <si>
    <t>ΚΟΤΣΙΔΗΣ ΣΕΡΓΚΕΙ</t>
  </si>
  <si>
    <t>ΑΙ364185</t>
  </si>
  <si>
    <t xml:space="preserve">ΚΟΤΣΙΦΑΚΗ ΜΑΡΙΑ </t>
  </si>
  <si>
    <t>ΑΖ472020</t>
  </si>
  <si>
    <t>ΚΟΤΣΙΦΟΠΟΥΛΟΥ ΕΛΕΝΗ</t>
  </si>
  <si>
    <t>ΑΑ102636</t>
  </si>
  <si>
    <t>ΚΟΤΣΟΡΓΙΟΥ ΒΑΣΙΛΙΚΗ</t>
  </si>
  <si>
    <t>ΑΒ071909</t>
  </si>
  <si>
    <t>ΚΟΤΣΟΥΚΗΣ ΠΑΝΑΓΙΩΤΗΣ</t>
  </si>
  <si>
    <t>ΑΒ966023</t>
  </si>
  <si>
    <t>ΚΟΤΣΩΡΗ ΚΩΝΣΤΑΝΤΙΝΑ</t>
  </si>
  <si>
    <t>ΑΑ306325</t>
  </si>
  <si>
    <t>ΚΟΤΤΑΡΑ ΓΕΩΡΓΙΑ</t>
  </si>
  <si>
    <t>ΑΑ106275</t>
  </si>
  <si>
    <t>ΚΟΤΤΗ ΚΑΛΛΙΝΙΚΗ</t>
  </si>
  <si>
    <t>ΑΖ690871</t>
  </si>
  <si>
    <t>ΚΟΥΒΑ ΑΝΑΣΤΑΣΙΑ</t>
  </si>
  <si>
    <t>ΑΗ291084</t>
  </si>
  <si>
    <t>ΚΟΥΒΑ ΕΙΡΗΝΗ</t>
  </si>
  <si>
    <t>ΑΙ634211</t>
  </si>
  <si>
    <t>ΚΟΥΒΑΡΑ ΧΡΙΣΤΙΝΑ</t>
  </si>
  <si>
    <t>ΑΒ493582</t>
  </si>
  <si>
    <t>ΚΟΥΒΑΡΔΑ ΑΙΚΑΤΕΡΙΝΗ</t>
  </si>
  <si>
    <t>ΑΚ408145</t>
  </si>
  <si>
    <t>ΚΟΥΒΑΡΗ ΑΝΑΣΤΑΣΙΑ</t>
  </si>
  <si>
    <t>ΑΚ871914</t>
  </si>
  <si>
    <t>ΚΟΥΓΙΑ ΜΑΡΙΝΑ</t>
  </si>
  <si>
    <t>Φ076094</t>
  </si>
  <si>
    <t>ΚΟΥΓΙΟΥΜΤΖΙΔΟΥ ΕΙΡΗΝΗ</t>
  </si>
  <si>
    <t>ΑΙ093099</t>
  </si>
  <si>
    <t>ΚΟΥΓΙΟΥΜΤΣΙΔΗΣ ΣΤΑΥΡΟΣ</t>
  </si>
  <si>
    <t>ΑΜ632705</t>
  </si>
  <si>
    <t>ΚΟΥΓΙΟΥΜΤΣΙΔΟΥ ΕΛΕΝΗ</t>
  </si>
  <si>
    <t>Χ246785</t>
  </si>
  <si>
    <t>ΚΟΥΖΗ ΧΡΥΣΑΝΘΗ</t>
  </si>
  <si>
    <t>Π878135</t>
  </si>
  <si>
    <t>ΚΟΥΖΟΥΛΟΓΛΟΥ ΙΩΑΝΝΗΣ</t>
  </si>
  <si>
    <t>Σ837200</t>
  </si>
  <si>
    <t>ΚΟΥΘΑΡΟΥΛΗ ΕΥΑΓΓΕΛΙΑ</t>
  </si>
  <si>
    <t>ΑΚ967549</t>
  </si>
  <si>
    <t>ΚΟΥΙΜΤΖΗ ΑΓΓΕΛΙΚΗ</t>
  </si>
  <si>
    <t>ΑΚ564993</t>
  </si>
  <si>
    <t xml:space="preserve">Κουκα Μαρία </t>
  </si>
  <si>
    <t>Αλέ</t>
  </si>
  <si>
    <t>ΑΜ520725</t>
  </si>
  <si>
    <t>ΚΟΥΚΗ ΠΑΝΤΕΛΙΑ</t>
  </si>
  <si>
    <t>Σ525753</t>
  </si>
  <si>
    <t>ΚΟΥΚΙΑ ΕΙΡΗΝΗ</t>
  </si>
  <si>
    <t>ΑΒ943748</t>
  </si>
  <si>
    <t>ΚΟΥΚΟΥΛΕΤΣΟΣ ΦΙΛΙΠΠΟΣ</t>
  </si>
  <si>
    <t>Φ138766</t>
  </si>
  <si>
    <t>ΚΟΥΚΟΥΝΑΚΗΣ ΙΩΑΝΝΗΣ</t>
  </si>
  <si>
    <t>Χ993761</t>
  </si>
  <si>
    <t>ΚΟΥΚΟΥΡΑ ΠΑΝΑΓΙΩΤΑ ΣΤΑΥΡΟΥΛΑ</t>
  </si>
  <si>
    <t>Τ867013</t>
  </si>
  <si>
    <t>ΚΟΥΚΟΥΡΑΒΑΣ ΑΝΔΡΕΑΣ</t>
  </si>
  <si>
    <t>ΑΜ840204</t>
  </si>
  <si>
    <t>ΚΟΥΚΟΥΡΑΚΗ ΜΑΡΙΝΑ</t>
  </si>
  <si>
    <t>Π889874</t>
  </si>
  <si>
    <t>ΔΗΜΟΣ ΑΡΧΑΝΩΝ - ΑΣΤΕΡΟΥΣΙΩΝ</t>
  </si>
  <si>
    <t>ΚΟΥΚΟΥΡΑΣ ΠΑΝΑΓ</t>
  </si>
  <si>
    <t>ΑΗ116384</t>
  </si>
  <si>
    <t>ΚΟΥΚΟΥΡΩΝΑΣ ΧΡΗΣΤΟΣ</t>
  </si>
  <si>
    <t>ΑΜ260597</t>
  </si>
  <si>
    <t>ΚΟΥΚΟΥΤΣΗ ΚΑΤΕΡΙΝΑ</t>
  </si>
  <si>
    <t>ΑΚ926631</t>
  </si>
  <si>
    <t>ΚΟΥΛΑ ΕΛΕΝΗ</t>
  </si>
  <si>
    <t>Ν796945</t>
  </si>
  <si>
    <t>ΚΟΥΛΑΜΑΣ ΔΗΜΗΤΡΙΟΣ</t>
  </si>
  <si>
    <t>ΑΒ785581</t>
  </si>
  <si>
    <t>ΚΟΥΛΙΟΥΚ ΑΝΤΡΕΙ</t>
  </si>
  <si>
    <t>ΑΖ335878</t>
  </si>
  <si>
    <t>ΚΟΥΛΟΣΟΥΣΑ ΑΘΗΝΑ</t>
  </si>
  <si>
    <t>ΑΙ123630</t>
  </si>
  <si>
    <t>ΚΟΥΛΟΥΚΤΣΗΣ ΑΝΔΡΕΑΣ</t>
  </si>
  <si>
    <t>ΑΕ190052</t>
  </si>
  <si>
    <t>ΚΟΥΛΟΥΡΗ ΜΑΡΙΑ</t>
  </si>
  <si>
    <t>Π059300</t>
  </si>
  <si>
    <t>ΚΟΥΛΟΥΡΗΣ ΑΓΓΕΛΗΣ</t>
  </si>
  <si>
    <t>ΑΝ245708</t>
  </si>
  <si>
    <t>ΚΟΥΛΟΥΡΙΔΗΣ ΓΡΗΓΟΡΙΟΣ</t>
  </si>
  <si>
    <t>Ρ860840</t>
  </si>
  <si>
    <t>ΚΟΥΛΤΟΥΡΙΔΗΣ ΣΑΒΒΕΛΗΣ</t>
  </si>
  <si>
    <t>ΑΙ707106</t>
  </si>
  <si>
    <t>ΚΟΥΜΑΪΤΗ ΔΗΜΗΤΡΑ</t>
  </si>
  <si>
    <t>ΑΙ884081</t>
  </si>
  <si>
    <t>ΚΟΥΜΑΚΗΣ ΙΩΑΝΝΗΣ</t>
  </si>
  <si>
    <t>ΑΕ951154</t>
  </si>
  <si>
    <t>ΚΟΥΜΑΡΑΣ ΒΑΣΙΛΕΙΟΣ</t>
  </si>
  <si>
    <t>ΑΜ442114</t>
  </si>
  <si>
    <t>ΔΗΜΟΤΙΚΗ ΕΠΙΧΕΙΡΗΣΗ ΥΔΡΕΥΣΗΣ ΑΠΟΧΕΤΕΥΣΗΣ ΛΕΣΒΟΥ (Δ.Ε.Υ.Α.Λ.)</t>
  </si>
  <si>
    <t>ΚΟΥΜΙΩΤΗΣ ΗΛΙΑΣ</t>
  </si>
  <si>
    <t>ΑΜ834860</t>
  </si>
  <si>
    <t>ΚΟΥΜΟΥΛΙΔΟΥ ΕΛΕΝΗ</t>
  </si>
  <si>
    <t>ΑΚ846037</t>
  </si>
  <si>
    <t>ΚΟΥΜΠΑΡΕΛΟΣ ΚΩΝΣΤΑΝΤΙΝΟΣ</t>
  </si>
  <si>
    <t>Χ093502</t>
  </si>
  <si>
    <t xml:space="preserve">ΚΟΥΜΠΟΥ ΕΛΕΝΗ </t>
  </si>
  <si>
    <t>ΚΟΥΜΠΟΥΡΑ ΑΝΝΑ</t>
  </si>
  <si>
    <t>Χ809732</t>
  </si>
  <si>
    <t>ΚΟΥΜΠΟΥΣΙΔΟΥ ΕΙΡΗΝΗ</t>
  </si>
  <si>
    <t>Ρ212538</t>
  </si>
  <si>
    <t>ΚΟΥΝΑΔΗΣ ΠΕΤΡΟΣ</t>
  </si>
  <si>
    <t>ΑΑ421746</t>
  </si>
  <si>
    <t>ΚΟΥΝΔΟΥΡΑΚΗ ΕΛΕΝΗ</t>
  </si>
  <si>
    <t>Χ997665</t>
  </si>
  <si>
    <t>ΚΟΥΝΕΛΗ ΑΙΚΑΤΕΡΙΝΗ</t>
  </si>
  <si>
    <t>ΑΕ701450</t>
  </si>
  <si>
    <t>ΚΟΥΝΕΛΗΣ ΓΕΩΡΓΙΟΣ</t>
  </si>
  <si>
    <t>Π930904</t>
  </si>
  <si>
    <t>ΚΟΥΝΟΥΠΗΣ ΒΑΣΙΛΕΙΟΣ</t>
  </si>
  <si>
    <t>Σ551550</t>
  </si>
  <si>
    <t>ΚΟΥΝΤΟΥΡΟΓΙΑΝΝΗΣ ΕΜΜΑΝΟΥΗΛ</t>
  </si>
  <si>
    <t>Π928972</t>
  </si>
  <si>
    <t>ΚΟΥΡΑΚΗΣ ΠΕΡΙΚΛΗΣ</t>
  </si>
  <si>
    <t>Χ982249</t>
  </si>
  <si>
    <t>ΚΟΥΡΑΚΟΣ ΧΑΡΑΛΑΜΠΟΣ</t>
  </si>
  <si>
    <t>ΑΒ335896</t>
  </si>
  <si>
    <t>ΚΟΥΡΒΑΣ ΓΕΡΑΣΙΜΟΣ</t>
  </si>
  <si>
    <t>ΑΚ003917</t>
  </si>
  <si>
    <t>ΚΟΥΡΕΛΗΣ ΑΛΕΞΑΝΔΡΟΣ</t>
  </si>
  <si>
    <t>ΑΙ261736</t>
  </si>
  <si>
    <t>ΚΟΥΡΕΜΕΝΟΣ ΔΗΜΗΤΡΙΟΣ</t>
  </si>
  <si>
    <t>ΑΖ270698</t>
  </si>
  <si>
    <t>ΚΟΥΡΕΝΤΑΣ ΒΑΣΙΛΕΙΟΣ</t>
  </si>
  <si>
    <t>Χ979937</t>
  </si>
  <si>
    <t>ΚΟΥΡΛΟΥ ΕΛΕΝΗ</t>
  </si>
  <si>
    <t>Λ699831</t>
  </si>
  <si>
    <t>ΚΟΥΡΜΠΕΛΗ ΜΑΡΓΑΡΙΤΑ</t>
  </si>
  <si>
    <t>Π845273</t>
  </si>
  <si>
    <t>ΚΟΥΡΟΣ ΧΑΡΙΛΑΟΣ</t>
  </si>
  <si>
    <t>ΑΕ122871</t>
  </si>
  <si>
    <t>ΚΟΥΡΟΥ ΑΓΓΕΛΙΚΗ</t>
  </si>
  <si>
    <t>ΑΚ376531</t>
  </si>
  <si>
    <t>ΚΟΥΡΟΥ ΧΟΥΣΕΙΝ</t>
  </si>
  <si>
    <t>ΡΑΜ</t>
  </si>
  <si>
    <t>Χ438641</t>
  </si>
  <si>
    <t>ΚΟΥΡΟΥΚΛΙΔΗΣ ΠΑΝΑΓΙΩΤΗΣ</t>
  </si>
  <si>
    <t>Ξ815799</t>
  </si>
  <si>
    <t>ΚΟΥΡΟΥΜΠΑΛΗΣ ΠΕΤΡΟΣ</t>
  </si>
  <si>
    <t>ΑΗ228785</t>
  </si>
  <si>
    <t>ΚΟΥΡΟΥΤΖΗ ΕΛΕΝΗ</t>
  </si>
  <si>
    <t>ΑΖ873734</t>
  </si>
  <si>
    <t>ΚΟΥΡΣΟΣ ΣΤΑΜΑΤΙΟΣ</t>
  </si>
  <si>
    <t>Χ042036</t>
  </si>
  <si>
    <t>ΚΟΥΡΤΑΛΗΣ ΙΩΑΝΝΗΣ</t>
  </si>
  <si>
    <t>ΑΖ735712</t>
  </si>
  <si>
    <t>ΚΟΥΡΤΕΣΑΚΗΣ ΠΑΥΛΟΣ</t>
  </si>
  <si>
    <t>ΑΚ156678</t>
  </si>
  <si>
    <t>ΚΟΥΡΤΖΑΝΙΔΗΣ ΙΩΑΝΝΗΣ</t>
  </si>
  <si>
    <t>Σ438196</t>
  </si>
  <si>
    <t>ΚΟΥΡΤΗΣ ΑΧΙΛΛΕΥΣ</t>
  </si>
  <si>
    <t>ΑΕ582501</t>
  </si>
  <si>
    <t>ΚΟΥΡΤΗΣ ΔΗΜΗΤΡΙΟΣ</t>
  </si>
  <si>
    <t>ΑΚ989090</t>
  </si>
  <si>
    <t>ΚΟΥΡΤΗΣ ΝΙΚΟΛΑΟΣ</t>
  </si>
  <si>
    <t>Ν571788</t>
  </si>
  <si>
    <t>ΚΟΥΡΤΙΔΟΥ ΑΙΚΑΤΕΡΙΝΗ</t>
  </si>
  <si>
    <t>Ρ180923</t>
  </si>
  <si>
    <t>ΚΟΥΡΤΣΙΔΗΣ ΔΙΟΝΥΣΙΟΣ</t>
  </si>
  <si>
    <t>ΑΑ474286</t>
  </si>
  <si>
    <t>ΚΟΥΡΤΣΟΓΛΟΥ ΣΟΦΙΑ</t>
  </si>
  <si>
    <t>ΑΚ859893</t>
  </si>
  <si>
    <t>ΚΟΥΣΑΘΑΝΑ ΜΑΡΙΑ</t>
  </si>
  <si>
    <t>ΑΝ302347</t>
  </si>
  <si>
    <t>ΚΟΥΣΑΘΑΝΑΣ ΝΙΚΟΛΑΟΣ</t>
  </si>
  <si>
    <t>Π926723</t>
  </si>
  <si>
    <t>ΚΟΥΣΙΔΟΥ ΒΑΡΒΑΡΑ</t>
  </si>
  <si>
    <t>ΑΖ374887</t>
  </si>
  <si>
    <t>ΚΟΥΣΚΟΥΒΑΤΑΣ ΚΩΝΣΤΑΝΤΙΝΟΣ</t>
  </si>
  <si>
    <t>ΑΚ976012</t>
  </si>
  <si>
    <t>ΔΗΜΟΣ ΚΑΛΑΜΠΑΚΑΣ ΤΡΙΚΑΛΩΝ</t>
  </si>
  <si>
    <t>ΚΟΥΣΚΟΥΡΙΔΗΣ ΚΩΣΤΑΝΤΙΝΟΣ</t>
  </si>
  <si>
    <t>Ξ874001</t>
  </si>
  <si>
    <t>ΚΟΥΤΑΛΕΛΛΗ ΔΕΣΠΟΙΝΑ</t>
  </si>
  <si>
    <t>ΑΑ899010</t>
  </si>
  <si>
    <t>ΚΟΥΤΑΝΤΟΣ ΒΑΣΙΛΕΙΟΣ</t>
  </si>
  <si>
    <t>Μ967805</t>
  </si>
  <si>
    <t>ΚΟΥΤΕΛΑΣ ΝΙΚΟΣ</t>
  </si>
  <si>
    <t>Σ635309</t>
  </si>
  <si>
    <t>ΚΟΥΤΕΛΗΣ ΚΩΝΣΤΑΝΤΙΝΟΣ</t>
  </si>
  <si>
    <t>Χ999389</t>
  </si>
  <si>
    <t>ΚΟΥΤΕΛΛΑΣ ΝΙΚΟΛΑΟΣ</t>
  </si>
  <si>
    <t>ΑΒ948401</t>
  </si>
  <si>
    <t>ΚΟΥΤΖΑΜΑΝΗΣ ΑΝΔΡΕΑΣ</t>
  </si>
  <si>
    <t>ΑΒ853430</t>
  </si>
  <si>
    <t>ΚΟΥΤΗ ΠΑΡΑΣΚΕΥΗ</t>
  </si>
  <si>
    <t>Χ375475</t>
  </si>
  <si>
    <t>ΚΟΥΤΗΣ ΕΥΑΓΓΕΛΟΣ</t>
  </si>
  <si>
    <t>ΑΜ377465</t>
  </si>
  <si>
    <t>ΚΟΥΤΙΒΑΣ ΕΥΑΓΓΕΛΟΣ</t>
  </si>
  <si>
    <t>Ν453816</t>
  </si>
  <si>
    <t>ΚΟΥΤΛΑΣ ΑΘΑΝΑΣΙΟΣ</t>
  </si>
  <si>
    <t>ΑΕ359852</t>
  </si>
  <si>
    <t>ΚΟΥΤΡΑΣ ΑΘΑΝΑΣΙΟΣ</t>
  </si>
  <si>
    <t>ΑΜ744535</t>
  </si>
  <si>
    <t>ΚΟΥΤΡΟΜΑΝΟΥ ΘΕΟΔΩΡΑ</t>
  </si>
  <si>
    <t>ΑΝ264014</t>
  </si>
  <si>
    <t>ΚΟΥΤΡΟΜΑΝΟΥ ΜΑΡΙΑ</t>
  </si>
  <si>
    <t>Φ431264</t>
  </si>
  <si>
    <t>ΚΟΥΤΡΟΠΟΥΛΟΣ ΓΙΟΥΡΙ</t>
  </si>
  <si>
    <t>ΑΑ034561</t>
  </si>
  <si>
    <t>ΚΟΥΤΡΟΠΟΥΛΟΥ ΕΥΑΓΓΕΛΙΑ</t>
  </si>
  <si>
    <t>ΛΥΚ</t>
  </si>
  <si>
    <t>Ρ001695</t>
  </si>
  <si>
    <t>ΚΟΥΤΡΟΥΛΑ ΟΛΓΑ</t>
  </si>
  <si>
    <t>Τ479660</t>
  </si>
  <si>
    <t>ΚΟΥΤΡΟΥΜΠΕΛΟΥ ΑΝΑΣΤΑΣΙΑ</t>
  </si>
  <si>
    <t>Τ853077</t>
  </si>
  <si>
    <t>ΚΟΥΤΣΑΦΑ ΣΤΑΜΑΤΙΑ</t>
  </si>
  <si>
    <t>Τ294620</t>
  </si>
  <si>
    <t>ΔΗΜΟΣ ΜΕΓΙΣΤΗΣ ΔΩΔΕΚΑΝΗΣΟΥ</t>
  </si>
  <si>
    <t>ΥΕ ΚΛΗΤΗΡΩΝ - ΘΥΡΩΡΩΝ - ΓΕΝΙΚΩΝ ΚΑΘΗΚΟΝΤΩΝ (ΓΕΝΙΚΩΝ ΚΑΘΗΚΟΝΤΩΝ)</t>
  </si>
  <si>
    <t>ΚΟΥΤΣΙΚΟΣ ΝΙΚΟΛΑΟΣ</t>
  </si>
  <si>
    <t>ΑΙ319750</t>
  </si>
  <si>
    <t>ΚΟΥΤΣΙΚΟΥΡΗ ΘΕΑΝΩ</t>
  </si>
  <si>
    <t>Π569454</t>
  </si>
  <si>
    <t>ΚΟΥΤΣΙΟΥΚΗ ΠΑΝΑΓΙΩΤΑ</t>
  </si>
  <si>
    <t>Π511002</t>
  </si>
  <si>
    <t>ΚΟΥΤΣΙΟΥΜΑΡΗΣ ΔΙΟΝΥΣΙΟΣ</t>
  </si>
  <si>
    <t>ΑΕ252093</t>
  </si>
  <si>
    <t>ΚΟΥΤΣΟΓΙΑΝΝΗΣ ΒΑΣΙΛΕΙΟΣ</t>
  </si>
  <si>
    <t>ΑΒ766282</t>
  </si>
  <si>
    <t>ΥΕ ΧΩΜΑΤΟΥΡΓΩΝ ΥΔΡΕΥΣΗΣ</t>
  </si>
  <si>
    <t>ΚΟΥΤΣΟΓΙΑΝΝΗΣ ΖΑΦΕΙΡΗΣ</t>
  </si>
  <si>
    <t>Φ000041</t>
  </si>
  <si>
    <t>ΚΟΥΤΣΟΔΟΝΤΗ ΙΩΑΝΝΑ</t>
  </si>
  <si>
    <t>Σ075481</t>
  </si>
  <si>
    <t>ΚΟΥΤΣΟΜΗΤΟΓΛΟΥ ΑΘΗΝΑ</t>
  </si>
  <si>
    <t>Ρ941583</t>
  </si>
  <si>
    <t>ΚΟΥΤΣΟΜΠΙΝΑ ΠΑΝΑΓΙΩΤΑ</t>
  </si>
  <si>
    <t>ΑΚ602488</t>
  </si>
  <si>
    <t>ΚΟΥΤΣΟΥΚΟΣ ΝΙΚΟΛΑΟΣ</t>
  </si>
  <si>
    <t>ΑΗ939655</t>
  </si>
  <si>
    <t>ΚΟΥΤΣΟΥΜΠΑ ΣΟΦΙΑ</t>
  </si>
  <si>
    <t>Ξ276634</t>
  </si>
  <si>
    <t>ΚΟΥΤΣΟΥΡΑΣ ΑΘΑΝΑΣ</t>
  </si>
  <si>
    <t>ΑΖ650136</t>
  </si>
  <si>
    <t>ΚΟΥΤΣΟΥΡΙΔΟΥ ΙΟΥΛΙΑ</t>
  </si>
  <si>
    <t>Χ222231</t>
  </si>
  <si>
    <t>ΚΟΥΦΙΔΟΥ ΝΕΡΑΝΤΖΙΑ</t>
  </si>
  <si>
    <t>ΑΚ082383</t>
  </si>
  <si>
    <t>ΚΟΥΦΟΓΙΑΝΝΗ ΜΑΡΙΑ</t>
  </si>
  <si>
    <t>ΑΚ364971</t>
  </si>
  <si>
    <t>ΚΟΥΦΟΔΗΜΟΠΟΥΛΟΣ ΠΑΝΑΓΙΩΤΗΣ</t>
  </si>
  <si>
    <t>Τ474726</t>
  </si>
  <si>
    <t xml:space="preserve">ΚΟΥΦΟΥ ΑΙΚΑΤΕΡΙΝΗ </t>
  </si>
  <si>
    <t>ΑΝ236085</t>
  </si>
  <si>
    <t>ΚΟΥΦΟΥΔΑΚΗ ΚΕΛΛΥ</t>
  </si>
  <si>
    <t>ΑΖ594968</t>
  </si>
  <si>
    <t>ΚΟΦΙΝΗΣ ΣΠΥΡΙΔΩΝ</t>
  </si>
  <si>
    <t>ΑΙ023024</t>
  </si>
  <si>
    <t xml:space="preserve">ΚΟΨΙΔΑΣ ΑΠΟΣΤΟΛΗΣ </t>
  </si>
  <si>
    <t>Μ786072</t>
  </si>
  <si>
    <t>ΚΟΨΙΔΑΣ ΕΥΑΓΓΕΛΟΣ</t>
  </si>
  <si>
    <t>Χ421702</t>
  </si>
  <si>
    <t>ΚΡΑΒΑΡΙΤΟΥ ΣΤΥΛΙΑΝΗ</t>
  </si>
  <si>
    <t>ΑΗ532422</t>
  </si>
  <si>
    <t>ΚΡΑΒΑΡΙΩΤΗΣ ΙΩΑΝΝΗΣ</t>
  </si>
  <si>
    <t>ΑΑ323934</t>
  </si>
  <si>
    <t>ΚΡΑΜΠΟΚΟΥΚΗΣ ΚΩΝΣΤΑΝΤΙΝΟΣ</t>
  </si>
  <si>
    <t>ΑΖ028573</t>
  </si>
  <si>
    <t>ΚΡΑΝΙΑ ΕΥΣΤΑΘΙΑ</t>
  </si>
  <si>
    <t>Χ715037</t>
  </si>
  <si>
    <t xml:space="preserve">ΚΡΑΝΙΔΟΥ  ΒΑΣΙΛΙΚΉ </t>
  </si>
  <si>
    <t>ΓΙΟ</t>
  </si>
  <si>
    <t>Χ174482</t>
  </si>
  <si>
    <t>ΚΡΑΝΙΩΤΗ EYΜΟΡΦΙΑ</t>
  </si>
  <si>
    <t>ΑΕ825587</t>
  </si>
  <si>
    <t>ΚΡΑΝΙΩΤΗ ΠΑΝΑΓΙΩΤΑ</t>
  </si>
  <si>
    <t>ΑΒ837720</t>
  </si>
  <si>
    <t xml:space="preserve">Κρανιωτη  Παρασκευή </t>
  </si>
  <si>
    <t>Χρή</t>
  </si>
  <si>
    <t>Χ376432</t>
  </si>
  <si>
    <t>ΚΡΑΣΣΑ ΕΛΕΝΗ ΑΙΚΑΤΕΡΙΝΗ</t>
  </si>
  <si>
    <t>ΑΙ638024</t>
  </si>
  <si>
    <t>ΚΡΑΣΣΑΣ ΓΕΩΡΓΙΟΣ</t>
  </si>
  <si>
    <t>ΑΚ543166</t>
  </si>
  <si>
    <t xml:space="preserve">Κρητικάκη  Κυριακή </t>
  </si>
  <si>
    <t>Γρη</t>
  </si>
  <si>
    <t>Π236492</t>
  </si>
  <si>
    <t>ΚΡΗΤΙΚΟΣ ΑΝΔΡΕΑΣ</t>
  </si>
  <si>
    <t>Μ586458</t>
  </si>
  <si>
    <t>ΚΡΗΤΙΚΟΣ ΔΗΜΗΤΡΗΣ</t>
  </si>
  <si>
    <t>Σ913845</t>
  </si>
  <si>
    <t>ΚΡΗΤΙΚΟΣ ΚΥΡΙΑΚΟΣ</t>
  </si>
  <si>
    <t>ΑΚ316578</t>
  </si>
  <si>
    <t>Σ831363</t>
  </si>
  <si>
    <t>ΚΡΗΤΙΚΟΣ ΝΙΚΟΛΑΟΣ</t>
  </si>
  <si>
    <t>ΑΒ175010</t>
  </si>
  <si>
    <t>ΚΡΗΤΙΚΟΣ ΣΠΥΡΙΔΩΝ</t>
  </si>
  <si>
    <t>Κ509610</t>
  </si>
  <si>
    <t>ΚΡΗΤΙΚΟΣ ΧΑΡΑΛΑΜΠΟΣ</t>
  </si>
  <si>
    <t>ΑΑ421291</t>
  </si>
  <si>
    <t>ΚΡΙΑΡΑΣ ΠΑΝΑΓΙΩΤΗΣ</t>
  </si>
  <si>
    <t>ΑΜ026088</t>
  </si>
  <si>
    <t>ΚΡΙΕΖΗ ΑΝΔΡΙΑΝΑ</t>
  </si>
  <si>
    <t>Ν467996</t>
  </si>
  <si>
    <t>ΚΡΙΖΙΩΤΗΣ ΔΗΜΗΤΡΙΟΣ</t>
  </si>
  <si>
    <t>ΑΙ415378</t>
  </si>
  <si>
    <t>ΚΡΙΣΙΛΑΣ ΔΗΜΗΤΡΙΟΣ</t>
  </si>
  <si>
    <t>ΑΜ211608</t>
  </si>
  <si>
    <t>ΚΡΙΤΣΟΥΛΗ ΒΑΡΒΑΡΑ</t>
  </si>
  <si>
    <t>ΑΗ051639</t>
  </si>
  <si>
    <t>ΚΡΙΩΝΗΣ ΔΗΜΗΤΡΙΟΣ</t>
  </si>
  <si>
    <t>ΑΑ423903</t>
  </si>
  <si>
    <t>ΚΡΟΚΗ ΧΡΥΣΑΥΓΗ</t>
  </si>
  <si>
    <t>Ξ751475</t>
  </si>
  <si>
    <t>ΚΡΟΚΙΔΗ ΙΩΑΝΝΑ ΜΑΡΙΑ</t>
  </si>
  <si>
    <t>ΑΗ253032</t>
  </si>
  <si>
    <t>ΚΡΟΤΙΝΗΣ ΕΥΑΓΓΕΛΟΣ</t>
  </si>
  <si>
    <t>Σ913645</t>
  </si>
  <si>
    <t>ΚΡΥΩΝΑ ΑΡΧΟΝΤΟΥΛΑ</t>
  </si>
  <si>
    <t>ΑΜ213437</t>
  </si>
  <si>
    <t>ΚΤΕΝΑ ΜΑΡΙΑ</t>
  </si>
  <si>
    <t>ΑΚ944715</t>
  </si>
  <si>
    <t>ΚΤΕΝΑ ΠΗΝΕΛΟΠΗ</t>
  </si>
  <si>
    <t>Χ421319</t>
  </si>
  <si>
    <t>ΚΤΕΝΑΣ ΝΙΚΟΛΑΟΣ</t>
  </si>
  <si>
    <t>ΑΙ276218</t>
  </si>
  <si>
    <t>ΚΤΙΣΤΟΠΟΥΛΟΣ ΣΑΒΒΑΣ</t>
  </si>
  <si>
    <t>Χ534253</t>
  </si>
  <si>
    <t>ΚΥΔΩΝΙΔΟΥ ΑΙΚΑΤΕΡΙΝΗ</t>
  </si>
  <si>
    <t>Χ563256</t>
  </si>
  <si>
    <t>ΚΥΠΑΡΙΣΗ ΜΑΡΙΑ</t>
  </si>
  <si>
    <t>Σ451643</t>
  </si>
  <si>
    <t>ΚΥΠΑΡΙΣΣΟΣ ΔΗΜΗΤΡΙΟΣ</t>
  </si>
  <si>
    <t>ΑΗ281552</t>
  </si>
  <si>
    <t>ΚΥΠΑΡΙΣΣΟΥ ΜΑΡΙΑ</t>
  </si>
  <si>
    <t>Ξ748652</t>
  </si>
  <si>
    <t>ΚΥΠΡΑΙΟΥ ΕΥΑΓΓΕΛΙΑ</t>
  </si>
  <si>
    <t>Τ519408</t>
  </si>
  <si>
    <t>ΚΥΠΡΙΩΤΗ ΜΑΡΙΑ</t>
  </si>
  <si>
    <t>Σ661721</t>
  </si>
  <si>
    <t>ΚΥΠΡΙΩΤΗΣ ΔΗΜΗΤΡΙΟΣ</t>
  </si>
  <si>
    <t>ΑΗ452186</t>
  </si>
  <si>
    <t>ΔΗΜΟΣ ΣΥΜΗΣ</t>
  </si>
  <si>
    <t>ΚΥΡΑΛΙΔΟΥ ΕΛΕΝΗ</t>
  </si>
  <si>
    <t>Φ177112</t>
  </si>
  <si>
    <t>ΚΥΡΑΝΤΖΗ ΑΙΚΑΤΕΡΙΝΗ</t>
  </si>
  <si>
    <t>ΑΚ417155</t>
  </si>
  <si>
    <t>ΚΥΡΙΑΖΗ ΠΑΝΑΓΙΩΤΑ</t>
  </si>
  <si>
    <t>ΑΝ535055</t>
  </si>
  <si>
    <t>ΚΥΡΙΑΖΗΣ ΒΑΣΙΛΕΙΟΣ</t>
  </si>
  <si>
    <t>ΑΜ450736</t>
  </si>
  <si>
    <t>ΚΥΡΙΑΖΗΣ ΓΡΗΓΟΡΙΟΣ</t>
  </si>
  <si>
    <t>Χ116075</t>
  </si>
  <si>
    <t>ΚΥΡΙΑΖΟΠΟΥΛΟΣ ΣΩΤΗΡ</t>
  </si>
  <si>
    <t>ΑΑ319533</t>
  </si>
  <si>
    <t>ΚΥΡΙΑΚΑΚΗΣ ΣΑΒΒΑΣ</t>
  </si>
  <si>
    <t>ΑΗ317851</t>
  </si>
  <si>
    <t>ΚΥΡΙΑΚΗ ΑΓΓΕΛΙΚΗ</t>
  </si>
  <si>
    <t>ΑΒ094062</t>
  </si>
  <si>
    <t>ΚΥΡΙΑΚΙΔΗ ΜΑΡΙΝΑ</t>
  </si>
  <si>
    <t>Τ194612</t>
  </si>
  <si>
    <t>ΚΥΡΙΑΚΙΔΗΣ ΔΗΜΗΤΡΙΟΣ</t>
  </si>
  <si>
    <t>ΑΜ433811</t>
  </si>
  <si>
    <t>ΚΥΡΙΑΚΙΔΗΣ ΣΑΒΒΑΣ</t>
  </si>
  <si>
    <t>ΑΕ520387</t>
  </si>
  <si>
    <t>ΚΥΡΙΑΚΙΔΟΥ ΑΙΚΑΤΕΡΙΝΗ</t>
  </si>
  <si>
    <t>Σ062533</t>
  </si>
  <si>
    <t>ΚΥΡΙΑΚΙΔΟΥ ΜΑΡΙΑ</t>
  </si>
  <si>
    <t>ΑΗ413425</t>
  </si>
  <si>
    <t>ΚΥΡΙΑΚΟΠΟΥΛΟΣ ΘΕΟΔΩΡΟΣ</t>
  </si>
  <si>
    <t>ΑΗ543910</t>
  </si>
  <si>
    <t>ΚΥΡΙΑΚΟΠΟΥΛΟΥ ΑΝΑΣΤΑΣΙΑ</t>
  </si>
  <si>
    <t>Τ417409</t>
  </si>
  <si>
    <t>ΚΥΡΙΑΚΟΠΟΥΛΟΥ ΑΝΝΑ</t>
  </si>
  <si>
    <t>ΑΕ075784</t>
  </si>
  <si>
    <t>ΚΥΡΙΑΚΟΠΟΥΛΟΥ ΙΩΑΝΝΑ</t>
  </si>
  <si>
    <t>Σ375210</t>
  </si>
  <si>
    <t>ΚΥΡΙΑΚΟΣ ΛΟΥΚΟΠΟΥΛΟΣ</t>
  </si>
  <si>
    <t>Φ224374</t>
  </si>
  <si>
    <t>ΚΥΡΙΑΚΟΥ ΚΩΝΣΤΑΝΤΙΝΟΣ</t>
  </si>
  <si>
    <t>ΑΖ684360</t>
  </si>
  <si>
    <t>ΚΥΡΙΚΛΙΔΗΣ ΧΑΡΑΛΑΜΠΟΣ</t>
  </si>
  <si>
    <t>Μ409088</t>
  </si>
  <si>
    <t>ΚΥΡΙΜΛΙΔΟΥ ΠΑΝΑΓΙΩΤΑ</t>
  </si>
  <si>
    <t>ΑΙ731482</t>
  </si>
  <si>
    <t>ΚΥΡΙΜΟΠΟΥΛΟΣ ΦΑΝΟΥΡΙΟΣ</t>
  </si>
  <si>
    <t>ΑΜ080725</t>
  </si>
  <si>
    <t>ΚΥΡΙΜΟΠΟΥΛΟΣ ΧΡΥΣΟΒΑΛΑΝΤΗΣ</t>
  </si>
  <si>
    <t>ΑΖ790083</t>
  </si>
  <si>
    <t>ΚΥΡΙΜΟΠΟΥΛΟΥ ΤΕΡΕΖΑ</t>
  </si>
  <si>
    <t>ΑΜ613598</t>
  </si>
  <si>
    <t>ΚΥΡΙΟΥ MAΡΙΑ</t>
  </si>
  <si>
    <t>Ξ193286</t>
  </si>
  <si>
    <t>ΚΥΡΙΤΣΗ ΓΕΩΡΓΙΑ</t>
  </si>
  <si>
    <t>Ρ774398</t>
  </si>
  <si>
    <t>ΚΥΡΙΤΣΗ ΠΑΡΑΣΚΕΥΗ</t>
  </si>
  <si>
    <t>ΑΒ198490</t>
  </si>
  <si>
    <t>ΚΥΡΙΤΣΟΠΟΥΛΟΥ ΕΥΤΥΧΙΑ</t>
  </si>
  <si>
    <t>Φ084389</t>
  </si>
  <si>
    <t>ΚΥΡΚΑΚΗΣ ΕΜΜΑΝΟΥΗΛ</t>
  </si>
  <si>
    <t>ΑΑ373948</t>
  </si>
  <si>
    <t>ΚΥΡΚΟΥ ΣΟΥΛΤΑΝΑ</t>
  </si>
  <si>
    <t>Χ488128</t>
  </si>
  <si>
    <t>ΚΥΡΟΥ ΠΕΡΙΣΤΕΡΑ</t>
  </si>
  <si>
    <t>ΑΝ414561</t>
  </si>
  <si>
    <t>ΚΥΦΩΝΙΔΗΣ ΝΙΚΟΛΑΟΣ</t>
  </si>
  <si>
    <t>Τ231940</t>
  </si>
  <si>
    <t>ΚΥΦΩΝΙΔΗΣ ΧΡΗΣΤΟΣ</t>
  </si>
  <si>
    <t>ΑΚ298034</t>
  </si>
  <si>
    <t>ΚΩΝΣΤΑ ΣΟΦΙΑ</t>
  </si>
  <si>
    <t>ΑΕ905337</t>
  </si>
  <si>
    <t>ΚΩΝΣΤΑΝΤΑΚΟΠΟΥΛΟΥ ΣΟΦΙΑ</t>
  </si>
  <si>
    <t>ΑΚ670596</t>
  </si>
  <si>
    <t>ΚΩΝΣΤΑΝΤΑΚΟΣ ΠΑΝΑΓΙΩΤΗΣ</t>
  </si>
  <si>
    <t>Ξ760521</t>
  </si>
  <si>
    <t>ΚΩΝΣΤΑΝΤΑΡΑ ΜΑΡΙΑ</t>
  </si>
  <si>
    <t>Χ274371</t>
  </si>
  <si>
    <t>ΚΩΝΣΤΑΝΤΑΣ ΔΗΜΗΤΡΙΟΣ</t>
  </si>
  <si>
    <t>ΑΖ181131</t>
  </si>
  <si>
    <t>ΚΩΝΣΤΑΝΤΙΚΑΚΗΣ ΕΛΕΥΘΕΡΙΟΣ</t>
  </si>
  <si>
    <t>ΑΜ289012</t>
  </si>
  <si>
    <t>ΚΩΝΣΤΑΝΤΙΝΙΔΗ ΕΛΕΝΗ</t>
  </si>
  <si>
    <t>Ξ472413</t>
  </si>
  <si>
    <t>ΚΩΝΣΤΑΝΤΙΝΙΔΗ ΕΥΡΥΚΛΕΙΑ</t>
  </si>
  <si>
    <t>Σ739901</t>
  </si>
  <si>
    <t>ΚΩΝΣΤΑΝΤΙΝΙΔΗΣ ΑΘΑΝΑΣΙΟΣ</t>
  </si>
  <si>
    <t>Χ238316</t>
  </si>
  <si>
    <t>ΚΩΝΣΤΑΝΤΙΝΙΔΗΣ ΒΑΣΙΛΕΙΟΣ</t>
  </si>
  <si>
    <t>Ρ294898</t>
  </si>
  <si>
    <t>ΚΩΝΣΤΑΝΤΙΝΙΔΗΣ ΓΕΩΡΓΙΟΣ</t>
  </si>
  <si>
    <t>ΑΒ123345</t>
  </si>
  <si>
    <t>Ξ392238</t>
  </si>
  <si>
    <t>ΚΩΝΣΤΑΝΤΙΝΙΔΗΣ ΗΛΙΑΣ</t>
  </si>
  <si>
    <t>Χ235000</t>
  </si>
  <si>
    <t>ΚΩΝΣΤΑΝΤΙΝΙΔΗΣ ΘΕΟΔΩΡΟΣ</t>
  </si>
  <si>
    <t>ΑΙ728316</t>
  </si>
  <si>
    <t>ΚΩΝΣΤΑΝΤΙΝΙΔΗΣ ΙΩΑΝΝΗΣ</t>
  </si>
  <si>
    <t>ΑΖ663732</t>
  </si>
  <si>
    <t>ΑΝ228223</t>
  </si>
  <si>
    <t>ΚΩΝΣΤΑΝΤΙΝΙΔΗΣ ΠΑΝΑΓΙΩΤΗΣ</t>
  </si>
  <si>
    <t>ΑΖ417733</t>
  </si>
  <si>
    <t>ΚΩΝΣΤΑΝΤΙΝΙΔΗΣ ΦΙΛΙΠΠΟΣ</t>
  </si>
  <si>
    <t>Π287732</t>
  </si>
  <si>
    <t>ΚΩΝΣΤΑΝΤΙΝΙΔΗΣ ΧΑΡΑΛΑΜΠΟΣ</t>
  </si>
  <si>
    <t>ΑΕ363418</t>
  </si>
  <si>
    <t>ΚΩΝΣΤΑΝΤΙΝΙΔΟΥ ΘΕΟΔΩΡΑ</t>
  </si>
  <si>
    <t>ΟΡΕ</t>
  </si>
  <si>
    <t>ΑΚ304943</t>
  </si>
  <si>
    <t>ΚΩΝΣΤΑΝΤΙΝΟΠΟΥΛΟΣ ΠΑΝΑΓΙΩΤΗΣ</t>
  </si>
  <si>
    <t>Π129191</t>
  </si>
  <si>
    <t>ΚΩΝΣΤΑΝΤΙΝΟΣ ΨΑΡΡΑΣ</t>
  </si>
  <si>
    <t>ΑΗ256630</t>
  </si>
  <si>
    <t>ΚΩΝΣΤΑΝΤΙΝΟΥ ΑΝΝΑ</t>
  </si>
  <si>
    <t>ΑΕ764714</t>
  </si>
  <si>
    <t>ΑΖ343009</t>
  </si>
  <si>
    <t xml:space="preserve">ΚΩΝΣΤΑΝΤΙΝΟΥ ΑΦΡΟΔΙΤΗ </t>
  </si>
  <si>
    <t>ΑΜ630431</t>
  </si>
  <si>
    <t>ΚΩΝΣΤΑΝΤΙΝΟΥ ΕΛΕΝΗ</t>
  </si>
  <si>
    <t>Χ186569</t>
  </si>
  <si>
    <t>ΚΩΝΣΤΑΝΤΙΝΟΥ ΕΦΗ</t>
  </si>
  <si>
    <t>ΑΝ387001</t>
  </si>
  <si>
    <t>ΚΩΝΣΤΑΝΤΙΝΟΥ ΧΡΥΣΟΒΑΛΑΝΤΗ</t>
  </si>
  <si>
    <t>ΑΗ895565</t>
  </si>
  <si>
    <t>ΚΩΝΣΤΑΝΤΟΠΟΥΛΟΣ ΒΑΣΙΛΕΙΟΣ</t>
  </si>
  <si>
    <t>Μ479939</t>
  </si>
  <si>
    <t>ΚΩΝΣΤΑΝΤΟΠΟΥΛΟΣ ΚΩΝΣΤΑΝΤΙΝΟΣ</t>
  </si>
  <si>
    <t>Χ937573</t>
  </si>
  <si>
    <t>ΚΩΝΣΤΑΝΤΟΠΟΥΛΟΣ ΝΙΚΟΛΑΟΣ</t>
  </si>
  <si>
    <t>ΑΚ348527</t>
  </si>
  <si>
    <t>ΚΩΝΣΤΑΝΤΟΠΟΥΛΟΥ ΓΕΩΡΓΙΑ</t>
  </si>
  <si>
    <t>ΑΗ149821</t>
  </si>
  <si>
    <t>ΚΩΝΣΤΑΝΤΟΥΔΑΚΗ ΣΤΕΦΑΝΙΑ</t>
  </si>
  <si>
    <t>ΑΒ523309</t>
  </si>
  <si>
    <t>ΚΩΝΣΤΑΝΤΟΥΔΑΚΗΣ ΕΥΣΤΡΑΤΙΟΣ</t>
  </si>
  <si>
    <t>ΑΚ430608</t>
  </si>
  <si>
    <t>ΚΩΝΣΤΑΝΤΟΥΡΟΣ ΔΗΜΗΤΡΙΟΣ</t>
  </si>
  <si>
    <t>Σ144932</t>
  </si>
  <si>
    <t>ΚΩΝΣΤΑΣ ΓΕΩΡΓΙΟΣ</t>
  </si>
  <si>
    <t>ΑΖ845111</t>
  </si>
  <si>
    <t>ΚΩΣΤΑΔΗΜΑΣ ΚΩΝΣΤΑΝΤΙΝΟΣ</t>
  </si>
  <si>
    <t>ΑΜ141600</t>
  </si>
  <si>
    <t>ΚΩΣΤΑΚΗ ΑΝΤΩΝΙΑ</t>
  </si>
  <si>
    <t>ΑΒ581775</t>
  </si>
  <si>
    <t>ΚΩΣΤΑΡΑΚΗ ΑΓΓΕΛΙΚΗ</t>
  </si>
  <si>
    <t>Π852715</t>
  </si>
  <si>
    <t>ΚΩΣΤΑΡΑΚΟΥ ΑΝΝΑ ΜΑΡΙΑ</t>
  </si>
  <si>
    <t>ΑΒ550849</t>
  </si>
  <si>
    <t>ΚΩΣΤΙΔΟΥ ΦΛΩΡΑ</t>
  </si>
  <si>
    <t>ΑΗ800334</t>
  </si>
  <si>
    <t>ΚΩΣΤΟΓΛΑΚΗΣ ΦΩΤΕΙΝΟΣ</t>
  </si>
  <si>
    <t>Σ185518</t>
  </si>
  <si>
    <t>ΚΩΣΤΟΓΛΟΥ ΑΝΝΑ</t>
  </si>
  <si>
    <t>Π967197</t>
  </si>
  <si>
    <t>ΚΩΣΤΟΓΛΟΥ ΑΣΠΑΣΙΑ</t>
  </si>
  <si>
    <t>ΑΖ569075</t>
  </si>
  <si>
    <t>ΚΩΣΤΟΓΛΟΥ ΣΤΑΥΡΟΥΛΑ</t>
  </si>
  <si>
    <t>ΑΚ939789</t>
  </si>
  <si>
    <t>ΚΩΣΤΟΠΟΥΛΟΣ ΒΑΣΙΛΕΙΟΣ</t>
  </si>
  <si>
    <t>ΑΜ735370</t>
  </si>
  <si>
    <t>ΚΩΣΤΟΠΟΥΛΟΣ ΚΩΝΣΤΑΝΤΙΝΟΣ</t>
  </si>
  <si>
    <t>Μ349965</t>
  </si>
  <si>
    <t>ΚΩΣΤΟΠΟΥΛΟΣ ΠΑΝΑΓΙΩΤΗΣ</t>
  </si>
  <si>
    <t>ΑΑ271386</t>
  </si>
  <si>
    <t>ΚΩΣΤΟΠΟΥΛΟΣ ΧΡΥΣΟΒΑΛΑΝΤΗΣ</t>
  </si>
  <si>
    <t>ΑΚ488326</t>
  </si>
  <si>
    <t>ΚΩΣΤΟΠΟΥΛΟΥ ΑΝΝΑ</t>
  </si>
  <si>
    <t>Λ103293</t>
  </si>
  <si>
    <t>ΚΩΣΤΟΠΟΥΛΟΥ ΜΑΡΘΑ</t>
  </si>
  <si>
    <t>ΑΙ081179</t>
  </si>
  <si>
    <t>ΚΩΣΤΟΠΟΥΛΟΥ ΟΛΓΑ</t>
  </si>
  <si>
    <t>ΖΩΣ</t>
  </si>
  <si>
    <t>ΑΗ298323</t>
  </si>
  <si>
    <t xml:space="preserve">ΚΩΣΤΟΥΛΗ ΜΑΡΙΑ </t>
  </si>
  <si>
    <t>ΑΖ266607</t>
  </si>
  <si>
    <t>ΚΩΣΤΟΥΛΙΔΗΣ ΣΤΥΛΙΑΝΟΣ</t>
  </si>
  <si>
    <t>ΑΝ690252</t>
  </si>
  <si>
    <t xml:space="preserve">ΚΩΣΤΟΥΛΙΔΟΥ EΥΦΡΟΣΥΝΗ </t>
  </si>
  <si>
    <t>ΑΕ670794</t>
  </si>
  <si>
    <t>ΚΩΤΗΣ ΑΠΟΣΤΟΛΟΣ</t>
  </si>
  <si>
    <t>Μ855922</t>
  </si>
  <si>
    <t>ΔΗΜΟΣ ΠΥΛΗΣ ΤΡΙΚΑΛΩΝ</t>
  </si>
  <si>
    <t>ΚΩΤΙΔΗΣ ΦΙΛΙΠΠΟΣ</t>
  </si>
  <si>
    <t>Ι400566</t>
  </si>
  <si>
    <t>ΚΩΤΟΥΛΑ ΑΡΧΟΝΤΟΥΛΑ</t>
  </si>
  <si>
    <t>Μ854588</t>
  </si>
  <si>
    <t>ΚΩΤΣΑΝΤΗΣ ΒΑΣΙΛΕΙΟΣ</t>
  </si>
  <si>
    <t>ΑΖ247140</t>
  </si>
  <si>
    <t>ΚΩΤΣΗ ΑΝΕΤΑ</t>
  </si>
  <si>
    <t>ΝΑΣ</t>
  </si>
  <si>
    <t>ΑΙ033051</t>
  </si>
  <si>
    <t>ΚΩΤΣΗ ΒΑΓΙΑ ΑΝΑΣΤΑΣΙΑ</t>
  </si>
  <si>
    <t>Σ609978</t>
  </si>
  <si>
    <t>ΚΩΤΣΗ ΖΑΧΑΡΟΥΛΑ</t>
  </si>
  <si>
    <t>ΑΕ771213</t>
  </si>
  <si>
    <t>ΚΩΤΣΗ  ΠΕΡΙΣΤΕΡΑ</t>
  </si>
  <si>
    <t>ΔΟΝ</t>
  </si>
  <si>
    <t>ΑΙ268317</t>
  </si>
  <si>
    <t>ΚΩΤΣΗΣ ΒΑΣΙΛΕΙΟΣ</t>
  </si>
  <si>
    <t>ΘΟΔ</t>
  </si>
  <si>
    <t>ΑΚ247993</t>
  </si>
  <si>
    <t>ΚΩΤΣΟΠΟΥΛΟΥ ΑΝΝΑ</t>
  </si>
  <si>
    <t>Φ083693</t>
  </si>
  <si>
    <t>ΚΩΤΣΟΣ ΧΡΥΣΟΣΤΟΜΟΣ</t>
  </si>
  <si>
    <t>Ρ851170</t>
  </si>
  <si>
    <t>ΚΩΤΣΟΥ ΒΑΣΙΛΙΚΗ</t>
  </si>
  <si>
    <t>ΑΗ304512</t>
  </si>
  <si>
    <t>ΚΩΦΙΔΟΥ ΜΑΡΙΑ</t>
  </si>
  <si>
    <t>ΑΕ843681</t>
  </si>
  <si>
    <t>ΚΩΦΟΚΟΤΣΙΟΥ ΑΝΑΣΤΑΣΙΑ</t>
  </si>
  <si>
    <t>Σ489978</t>
  </si>
  <si>
    <t>ΛΑΒΑΖΟΣ ΘΕΟΔΩΡΟΣ</t>
  </si>
  <si>
    <t>Ν313987</t>
  </si>
  <si>
    <t>ΛΑΒΔΑ ΚΩΝΣΤΑΝΤΙΝΑ</t>
  </si>
  <si>
    <t>Χ021106</t>
  </si>
  <si>
    <t>ΛΑΒΔΑ ΜΑΡΙΑ</t>
  </si>
  <si>
    <t>Σ918525</t>
  </si>
  <si>
    <t>ΛΑΒΡΑΝΟΣ ΣΠΥΡΙΔΩΝ</t>
  </si>
  <si>
    <t>ΑΜ355550</t>
  </si>
  <si>
    <t>ΛΑΓΑΡΟΥ ΑΘΑΝΑΣΙΑ</t>
  </si>
  <si>
    <t>Ρ771278</t>
  </si>
  <si>
    <t>ΛΑΓΑΡΟΥ ΕΥΘΥΜΙΑ</t>
  </si>
  <si>
    <t>ΑΗ040194</t>
  </si>
  <si>
    <t>ΛΑΓΟΠΟΔΗ ΘΕΟΔΩΡΑ</t>
  </si>
  <si>
    <t>Ρ382854</t>
  </si>
  <si>
    <t>ΛΑΓΟΠΟΔΗΣ ΠΑΝΑΓΙΩΤΗΣ</t>
  </si>
  <si>
    <t>ΑΑ356079</t>
  </si>
  <si>
    <t>ΛΑΓΟΣ ΔΗΜΟΣ</t>
  </si>
  <si>
    <t>ΑΒ891361</t>
  </si>
  <si>
    <t>ΛΑΓΟΥΔΑΚΗΣ ΓΕΩΡΓΙΟΣ</t>
  </si>
  <si>
    <t>ΑΙ454094</t>
  </si>
  <si>
    <t>ΛΑΓΟΥΔΗ ΑΙΚΑΤΕΡΙΝΗ</t>
  </si>
  <si>
    <t>Χ846439</t>
  </si>
  <si>
    <t>ΛΑΔΙΚΟΣ ΠΕΤΡΟΣ</t>
  </si>
  <si>
    <t>ΑΚ540293</t>
  </si>
  <si>
    <t>ΛΑΔΌΠΟΥΛΟΥ ΕΥΑΓΓΕΛΊΑ</t>
  </si>
  <si>
    <t>ΑΗ763820</t>
  </si>
  <si>
    <t>ΛΑΖΑΙΟΥ ΑΝΑΣΤΑΣΙΑ</t>
  </si>
  <si>
    <t>ΑΚ935784</t>
  </si>
  <si>
    <t>ΛΑΖΑΝΑΚΗ ΧΡΙΣΤΙΝΑ</t>
  </si>
  <si>
    <t>ΑΙ500928</t>
  </si>
  <si>
    <t>ΛΑΖΑΡΑΚΗ ΕΛΕΝΗ</t>
  </si>
  <si>
    <t>ΑΜ 470207</t>
  </si>
  <si>
    <t>ΛΑΖΑΡΑΚΟΥ ΘΕΟΔΩΡΑ</t>
  </si>
  <si>
    <t>ΜΕΝ</t>
  </si>
  <si>
    <t>ΑΜ525501</t>
  </si>
  <si>
    <t>ΛΑΖΑΡΙΔΗΣ ΗΛΙΑΣ</t>
  </si>
  <si>
    <t>Ρ147592</t>
  </si>
  <si>
    <t>ΛΑΖΑΡΙΔΗΣ ΘΕΟΔΩΡΟΣ</t>
  </si>
  <si>
    <t>ΑΙ151549</t>
  </si>
  <si>
    <t>ΛΑΖΑΡΙΔΗΣ ΛΑΖΑΡΟΣ</t>
  </si>
  <si>
    <t>ΑΖ414158</t>
  </si>
  <si>
    <t>ΛΑΖΑΡΙΔΗΣ ΝΙΚΟΛΑΟΣ</t>
  </si>
  <si>
    <t>ΑΚ301298</t>
  </si>
  <si>
    <t>ΛΑΖΑΡΙΔΟΥ ΑΓΑΠΗ</t>
  </si>
  <si>
    <t>ΑΖ324428</t>
  </si>
  <si>
    <t>ΛΑΖΑΡΙΔΟΥ ΔΟΜΝΙΚΗ</t>
  </si>
  <si>
    <t>ΑΗ803108</t>
  </si>
  <si>
    <t>ΛΑΖΑΡΙΔΟΥ ΕΙΡΗΝΗ</t>
  </si>
  <si>
    <t>ΑΗ543909</t>
  </si>
  <si>
    <t>ΛΑΖΑΡΙΔΟΥ ΕΛΠΙΔΑ</t>
  </si>
  <si>
    <t>ΑΖ401908</t>
  </si>
  <si>
    <t>ΛΑΖΑΡΙΔΟΥ ΕΥΦΡΑΣΙΑ</t>
  </si>
  <si>
    <t>ΑΚ983568</t>
  </si>
  <si>
    <t>ΛΑΖΑΡΙΔΟΥ ΝΑΤΑΛΙΑ</t>
  </si>
  <si>
    <t>ΑΒ742383</t>
  </si>
  <si>
    <t>ΛΑΖΑΡΙΔΟΥ ΠΑΣΧΑΛΙΝΑ</t>
  </si>
  <si>
    <t>ΑΗ669919</t>
  </si>
  <si>
    <t>ΛΑΖΑΡΙΔΟΥ ΣΤΥΛΙΑΝΗ</t>
  </si>
  <si>
    <t>ΑΝ391067</t>
  </si>
  <si>
    <t>ΛΑΖΑΡΟΥ ΑΝΑΣΤΑΣΙΑ</t>
  </si>
  <si>
    <t>Σ266112</t>
  </si>
  <si>
    <t xml:space="preserve">ΛΑΖΟΥ X </t>
  </si>
  <si>
    <t>Σ695198</t>
  </si>
  <si>
    <t>ΛΑΙΜΟΔΕΤΗΣ ΦΙΛΙΠΠΟΣ</t>
  </si>
  <si>
    <t>ΑΒ090634</t>
  </si>
  <si>
    <t>ΛΑΙΝΑ ΕΛΕΥΘΕΡΙΑ</t>
  </si>
  <si>
    <t>Ρ134112</t>
  </si>
  <si>
    <t>ΛΑΙΝΑΣ ΒΑΣΙΛΕΙΟΣ</t>
  </si>
  <si>
    <t>Τ987279</t>
  </si>
  <si>
    <t>ΛΑΙΝΑΣ ΧΡΥΣΟΒΑΛΑΝΤΗΣ ΔΑΝΙΗΛ</t>
  </si>
  <si>
    <t>ΑΗ479898</t>
  </si>
  <si>
    <t>ΛΑΚΟΥΜΕΝΤΑ ΕΛΕΝΗ</t>
  </si>
  <si>
    <t>ΑΖ055659</t>
  </si>
  <si>
    <t>ΛΑΚΡΙΝΤΗΣ ΑΝΑΣΤΑΣΙΟΣ</t>
  </si>
  <si>
    <t>Π951214</t>
  </si>
  <si>
    <t>ΛΑΛΑΔΑΚΗΣ ΜΑΡΚΟΣ</t>
  </si>
  <si>
    <t>Π713787</t>
  </si>
  <si>
    <t>ΛΑΛΑΣ ΕΥΣΤΡΑΤΙΟΣ</t>
  </si>
  <si>
    <t>Χ920205</t>
  </si>
  <si>
    <t>ΛΑΛΙΩΤΗ ΑΔΑΜΑΝΤΙΑ</t>
  </si>
  <si>
    <t>ΑΜ312630</t>
  </si>
  <si>
    <t>ΛΑΛΟΣ ΑΘΑΝΑΣΙΟΣ</t>
  </si>
  <si>
    <t>ΑΒ697243</t>
  </si>
  <si>
    <t>ΛΑΜΠΑΔΑΚΗ ΦΛΩΡΑ</t>
  </si>
  <si>
    <t>Χ563302</t>
  </si>
  <si>
    <t>ΛΑΜΠΟΓΛΟΥ ΑΙΚΑΤΕΡΙΝΗ</t>
  </si>
  <si>
    <t>Χ555984</t>
  </si>
  <si>
    <t>ΛΑΜΠΡΑΚΗ ΦΩΤΕΙΝΗ</t>
  </si>
  <si>
    <t>Ρ320921</t>
  </si>
  <si>
    <t>ΛΑΜΠΡΙΑΝΙΔΗΣ ΘΕΟΔΩΡΟΣ</t>
  </si>
  <si>
    <t>ΑΖ787241</t>
  </si>
  <si>
    <t>ΛΑΜΠΡΙΝΑΚΟΣ ΛΑΜΠΡΟΣ</t>
  </si>
  <si>
    <t>ΑΙ074147</t>
  </si>
  <si>
    <t>ΛΑΜΠΡΙΝΗ ΚΟΤΣΩΝΗ</t>
  </si>
  <si>
    <t>ΑΖ613673</t>
  </si>
  <si>
    <t>ΛΑΜΠΡΙΝΟΥ ΕΛΕΝΗ</t>
  </si>
  <si>
    <t>Ξ022248</t>
  </si>
  <si>
    <t>ΛΑΜΠΡΟΓΕΩΡΓΟΣ ΗΛΙΑΣ</t>
  </si>
  <si>
    <t>ΑΚ450845</t>
  </si>
  <si>
    <t>ΛΑΜΠΡΟΠΟΥΛΟΥ ΑΙΚΑΤΕΡΙΝΗ</t>
  </si>
  <si>
    <t>ΑΒ750059</t>
  </si>
  <si>
    <t>ΛΑΜΠΡΟΠΟΥΛΟΥ ΓΕΩΡΓΙΑ</t>
  </si>
  <si>
    <t>ΑΒ076176</t>
  </si>
  <si>
    <t>ΛΑΜΠΡΟΠΟΥΛΟΥ ΕΥΣΤΑΘΙΑ</t>
  </si>
  <si>
    <t>ΑΙ219095</t>
  </si>
  <si>
    <t>ΛΑΜΠΡΟΠΟΥΛΟΥ ΠΑΝΑΓΙΩΤΑ</t>
  </si>
  <si>
    <t>Χ 158575</t>
  </si>
  <si>
    <t>ΛΑΝΑΡΗΣ ΘΕΟΧΑΡΗΣ</t>
  </si>
  <si>
    <t>ΑΕ370814</t>
  </si>
  <si>
    <t>ΛΑΝΤΖΟΥΝΗΣ ΣΤΕΦΑΝΟΣ</t>
  </si>
  <si>
    <t>ΑΒ331923</t>
  </si>
  <si>
    <t>ΛΑΠΑΡΙΔΟΥ ΠΟΛΥΞΕΝΗ</t>
  </si>
  <si>
    <t>ΑΗ669967</t>
  </si>
  <si>
    <t>ΛΑΠΠΑ ΧΡΥΣΟΥΛΑ</t>
  </si>
  <si>
    <t>Τ517984</t>
  </si>
  <si>
    <t>ΛΑΠΠΑΣ ΝΙΚΟΛΑΟΣ</t>
  </si>
  <si>
    <t>ΑΖ741015</t>
  </si>
  <si>
    <t>ΛΑΡΔΑ ΜΑΡΙΑ</t>
  </si>
  <si>
    <t>ΑΒ603115</t>
  </si>
  <si>
    <t>ΛΑΡΕΝΤΖΑΚΗ ΕΥΦΗΜΙΑ</t>
  </si>
  <si>
    <t>ΑΚ089520</t>
  </si>
  <si>
    <t>ΛΑΣΚΟΥ ΣΟΦΙΑ</t>
  </si>
  <si>
    <t>Χ6895555</t>
  </si>
  <si>
    <t>ΛΑΤΙΣ ΝΤΟΥΜΙΤΡΙΤΣΑ</t>
  </si>
  <si>
    <t>ΓΙΩ</t>
  </si>
  <si>
    <t>ΑΝ132782</t>
  </si>
  <si>
    <t>ΛΑΤΣΗ ΑΡΓΥΡΩ</t>
  </si>
  <si>
    <t>Π052130</t>
  </si>
  <si>
    <t>ΛΑΤΣΙΝΟΓΛΟΥ ΒΑΣΙΛΙΚΗ</t>
  </si>
  <si>
    <t>ΑΜ696981</t>
  </si>
  <si>
    <t>ΛΑΦΙΑΣ ΛΕΩΝΙΔΑΣ</t>
  </si>
  <si>
    <t>ΑΖ941239</t>
  </si>
  <si>
    <t>ΛΑΦΤΣΗ ΙΩΑΝΝΑ</t>
  </si>
  <si>
    <t>ΑΗ402705</t>
  </si>
  <si>
    <t>ΛΑΧΑΝΑ ΜΑΡΘΑ</t>
  </si>
  <si>
    <t>ΑΙ709542</t>
  </si>
  <si>
    <t>ΛΑΧΑΝΑΣ ΧΡΗΣΤΟΣ</t>
  </si>
  <si>
    <t>ΑΗ641270</t>
  </si>
  <si>
    <t>ΛΑΧΛΑΛΙ ΡΑΧΜΑ ΑΙΚΑΤΕΡΙΝΗ</t>
  </si>
  <si>
    <t>ΑΧΜ</t>
  </si>
  <si>
    <t>Χ134437</t>
  </si>
  <si>
    <t>ΥΕ ΚΑΤΑΜΕΤΡΗΤΩΝ ΥΔΡΕΥΣΗΣ</t>
  </si>
  <si>
    <t>ΛΑΨΑΤΗ ΜΑΡΙΑ</t>
  </si>
  <si>
    <t>ΑΕ485374</t>
  </si>
  <si>
    <t>ΛΕΒΕΝΤΗ ΙΩΑΝΝΑ</t>
  </si>
  <si>
    <t>ΑΙ001157</t>
  </si>
  <si>
    <t>ΛΕΒΕΝΤΗΣ ΣΕΒΑΣΤΟΣ - ΑΝΔΡΕΑΣ</t>
  </si>
  <si>
    <t>ΚΛΕ</t>
  </si>
  <si>
    <t>ΑΗ945947</t>
  </si>
  <si>
    <t>ΛΕΒΙΔΙΩΤΗΣ ΠΑΝΑΓΙΩΤΗΣ</t>
  </si>
  <si>
    <t>ΑΙ058054</t>
  </si>
  <si>
    <t>ΛΕΓΚΡΙΑΝΟΥ ΑΘΑΝΑΣΙΑ</t>
  </si>
  <si>
    <t>Π706555</t>
  </si>
  <si>
    <t>ΛΕΓΟΥ ΧΡΥΣΟΥΛΑ-ΣΤΕΛΛΑ</t>
  </si>
  <si>
    <t>ΑΗ630744</t>
  </si>
  <si>
    <t>ΛΕΔΑΚΗ ΑΘΗΝΑ</t>
  </si>
  <si>
    <t>Ν968455</t>
  </si>
  <si>
    <t xml:space="preserve">ΛΕΙΒΑΔΑΣ ΓΕΡΑΣΙΜΟΣ </t>
  </si>
  <si>
    <t>ΑΜ010065</t>
  </si>
  <si>
    <t>ΛΕΚΑΡΑΚΟΥ ΓΕΩΡΓΙΑ</t>
  </si>
  <si>
    <t>ΑΖ046121</t>
  </si>
  <si>
    <t>ΛΕΚΑΤΣΑ ΓΕΩΡΓΙΑ</t>
  </si>
  <si>
    <t>ΑΕ221359</t>
  </si>
  <si>
    <t>ΛΕΛΟΥ ΚΥΡΙΑΚΗ</t>
  </si>
  <si>
    <t>Φ078081</t>
  </si>
  <si>
    <t>ΛΕΜΟΝΑΚΗΣ ΚΩΝΣΤΑΝΤΙΝΟΣ</t>
  </si>
  <si>
    <t>Σ413066</t>
  </si>
  <si>
    <t>ΛΕΜΟΝΗ ΣΤΑΥΡΟΥΛΑ</t>
  </si>
  <si>
    <t>ΑΗ891521</t>
  </si>
  <si>
    <t>ΛΕΜΟΝΙΑΣ ΙΩΑΝΝΗΣ</t>
  </si>
  <si>
    <t>ΑΜ93366</t>
  </si>
  <si>
    <t>ΛΕΜΟΝΙΔΗΣ  ΚΩΝΣΤΑΝΤΙΝΟΣ</t>
  </si>
  <si>
    <t>Κ469399</t>
  </si>
  <si>
    <t>ΛΕΜΟΝΤΖΟΓΛΟΥ ΠΑΡΑΣΚΕΥΗ</t>
  </si>
  <si>
    <t>ΑΙ599964</t>
  </si>
  <si>
    <t>ΛΕΝΤΖΙΟΥ ΔΗΜΗΤΡΑ</t>
  </si>
  <si>
    <t>Σ848704</t>
  </si>
  <si>
    <t>ΛΕΟΝΤΑΡΑΚΗ ΕΛΕΝΗ</t>
  </si>
  <si>
    <t>ΑΝ431241</t>
  </si>
  <si>
    <t>ΛΕΟΝΤΗΣ ΔΙΑΜΑΝΤΗΣ</t>
  </si>
  <si>
    <t>ΑΑ410789</t>
  </si>
  <si>
    <t>ΛΕΟΝΤΗΣ ΕΥΣΤΡΑΤΙΟΣ</t>
  </si>
  <si>
    <t>ΑΕ669126</t>
  </si>
  <si>
    <t>ΛΕΟΝΤΙΤΣΗΣ ΓΡΗΓΟΡΙΟΣ</t>
  </si>
  <si>
    <t>Τ363939</t>
  </si>
  <si>
    <t>ΛΕΟΝΤΣΙΝΗΣ ΠΑΝΑΓΙΩΤΗΣ</t>
  </si>
  <si>
    <t>ΑΙ592110</t>
  </si>
  <si>
    <t>ΛΕΟΤΣΙΝΙΔΗ ΜΥΡΣΙΝΑ</t>
  </si>
  <si>
    <t>ΑΙ571915</t>
  </si>
  <si>
    <t>ΛΕΟΥΤΣΑΚΟΥ ΚΥΡΙΑΚΗ</t>
  </si>
  <si>
    <t>Π062395</t>
  </si>
  <si>
    <t>ΛΕΠΕΤΖΙΔΗ ΜΑΡΙΑ</t>
  </si>
  <si>
    <t>ΑΑ006025</t>
  </si>
  <si>
    <t>ΛΕΠΙΔΙΣ ΔΗΜΗΤΡΙΟΣ</t>
  </si>
  <si>
    <t>ΦΟΤ</t>
  </si>
  <si>
    <t>ΑΗ171487</t>
  </si>
  <si>
    <t>ΛΕΤΣΙΟΣ ΙΩΑΝΝΗΣ</t>
  </si>
  <si>
    <t>ΑΙ872470</t>
  </si>
  <si>
    <t>ΛΕΤΣΙΟΥ ΦΩΤΕΙΝΗ</t>
  </si>
  <si>
    <t>ΑΝ386327</t>
  </si>
  <si>
    <t>ΛΕΤΤΑΣ ΑΝΔΡΕΑΣ</t>
  </si>
  <si>
    <t>Ν711769</t>
  </si>
  <si>
    <t>ΛΕΥΚΙΜΙΑΤΗ ΑΙΚΑΤΕΡΙΝΑ</t>
  </si>
  <si>
    <t>ΑΚ059421</t>
  </si>
  <si>
    <t>ΛΕΩΝ ΑΙΚΑΤΕΡΙΝΗ</t>
  </si>
  <si>
    <t>ΑΜ992683</t>
  </si>
  <si>
    <t>ΛΕΩΝΙΔΑ ΠΗΝΕΛΟΠΗ</t>
  </si>
  <si>
    <t>ΑΚ532985</t>
  </si>
  <si>
    <t>ΛΗΞΟΥΡΙΩΤΟΥ ΤΡΙΑΝΤΑΦΥΛΛΙΑ</t>
  </si>
  <si>
    <t>ΑΝ083553</t>
  </si>
  <si>
    <t>ΛΙΑΓΚΑΣ ΘΩΜΑΣ</t>
  </si>
  <si>
    <t>ΑΑ303043</t>
  </si>
  <si>
    <t>ΛΙΑΓΚΗ ΚΑΛΛΙΟΠΗ</t>
  </si>
  <si>
    <t>ΑΙ022999</t>
  </si>
  <si>
    <t>ΔΗΜΟΣ ΛΑΥΡΕΩΤΙΚΗΣ ΑΝΑΤΟΛΙΚΗΣ ΑΤΤΙΚΗΣ</t>
  </si>
  <si>
    <t>ΛΙΑΙΛΙΑΚΙΔΟΥ ΑΝΤΖΕΛΙΚΑ</t>
  </si>
  <si>
    <t>ΑΚ046699</t>
  </si>
  <si>
    <t>ΛΙΑΚΑΚΟΣ ΙΩΑΝΝΗΣ</t>
  </si>
  <si>
    <t>Σ679205</t>
  </si>
  <si>
    <t>ΛΙΑΚΟΠΟΥΛΟΣ ΠΑΝΑΓΙΩΤΗΣ</t>
  </si>
  <si>
    <t>Χ151404</t>
  </si>
  <si>
    <t>ΛΙΑΚΟΣ ΣΩΤΗΡΙΟΣ</t>
  </si>
  <si>
    <t>Ρ909579</t>
  </si>
  <si>
    <t>ΛΙΑΚΟΣ ΧΑΡΑΛΑΜΠΟΣ</t>
  </si>
  <si>
    <t>Ρ274658</t>
  </si>
  <si>
    <t>ΔΗΜΟΤΙΚΗ ΕΠΙΧΕΙΡΗΣΗ ΥΔΡΕΥΣΗΣ - ΑΠΟΧΕΤΕΥΣΗΣ ΘΗΒΑΣ (Δ.Ε.Υ.Α.Θ.)</t>
  </si>
  <si>
    <t>ΛΙΑΚΟΣ ΧΑΡΙΣΙΟΣ</t>
  </si>
  <si>
    <t>ΑΑ870418</t>
  </si>
  <si>
    <t>ΛΙΑΚΟΥ ΙΩΑΝΝΑ</t>
  </si>
  <si>
    <t>ΑΗ741104</t>
  </si>
  <si>
    <t>ΛΙΑΜΠΑ ΜΑΡΙΑ</t>
  </si>
  <si>
    <t>Ν823739</t>
  </si>
  <si>
    <t>ΛΙΑΝΕΡΗ ΕΥΓΕΝΙΑ</t>
  </si>
  <si>
    <t>ΑΜ500095</t>
  </si>
  <si>
    <t>ΛΙΑΝΟΣ ΚΩΝΣΤΑΝΤΙΝΟΣ</t>
  </si>
  <si>
    <t>ΑΗ385881</t>
  </si>
  <si>
    <t>ΛΙΑΡΟΥ ΕΙΡΗΝΗ</t>
  </si>
  <si>
    <t>Ξ789384</t>
  </si>
  <si>
    <t>ΛΙΒΑΝΟΠΟΥΛΟΥ ΛΑΜΠΡΙΝΗ</t>
  </si>
  <si>
    <t>Ξ836565</t>
  </si>
  <si>
    <t>ΛΙΒΑΝΟΥ ΓΕΡΑΚΙΝΑ</t>
  </si>
  <si>
    <t>ΑΝ516711</t>
  </si>
  <si>
    <t>ΛΙΒΕΡΑΚΟΣ ΓΕΩΡΓΙΟΣ</t>
  </si>
  <si>
    <t>ΑΚ561811</t>
  </si>
  <si>
    <t>ΛΙΒΕΡΗ ΣΕΒΑΣΤΗ</t>
  </si>
  <si>
    <t>ΑΑ397155</t>
  </si>
  <si>
    <t>ΛΙΓΝΟΣ ΓΕΩΡΓΙΟΣ</t>
  </si>
  <si>
    <t>Χ516584</t>
  </si>
  <si>
    <t>ΛΙΓΟΥΔΙΣΤΙΑΝΟΥ ΧΡΙΣΤΙΝΑ</t>
  </si>
  <si>
    <t>ΑΙ545618</t>
  </si>
  <si>
    <t>ΛΙΘΟΞΟΙΔΗΣ ΠΑΡΑΣΚΕΥΑΣ</t>
  </si>
  <si>
    <t>Ν732921</t>
  </si>
  <si>
    <t>ΛΙΘΟΞΟΠΟΥΛΟΣ ΣΤΑΥΡΟΣ</t>
  </si>
  <si>
    <t>ΑΚ312475</t>
  </si>
  <si>
    <t>ΛΙΝΑΡΔΟΥ ΚΩΝΣΤΑΝΤΙΝΑ</t>
  </si>
  <si>
    <t>Τ236625</t>
  </si>
  <si>
    <t>ΛΙΝΟΣΠΟΡΗΣ ΒΑΣΙΛΕΙΟΣ</t>
  </si>
  <si>
    <t>ΑΑ397997</t>
  </si>
  <si>
    <t>ΛΙΟΛΙΟΥ ΔΗΜΗΤΡΑ</t>
  </si>
  <si>
    <t>Π740435</t>
  </si>
  <si>
    <t>ΛΙΟΝΤΑΚΗ ΠΑΡΑΣΚΕΥΗ</t>
  </si>
  <si>
    <t>Τ187228</t>
  </si>
  <si>
    <t>ΛΙΟΝΤΑΚΗΣ ΣΠΥΡΟΣ</t>
  </si>
  <si>
    <t>Ρ695094</t>
  </si>
  <si>
    <t>ΛΙΟΝΤΑΣ ΓΕΩΡΓΙΟΣ</t>
  </si>
  <si>
    <t>ΑΕ336477</t>
  </si>
  <si>
    <t>ΛΙΟΝΤΟΣ ΒΑΣΙΛΕΙΟΣ</t>
  </si>
  <si>
    <t>ΑΚ376416</t>
  </si>
  <si>
    <t>ΛΙΟΥΔΑΚΗΣ  ΚΩΝΣΤΑΝΤΙΝΟΣ</t>
  </si>
  <si>
    <t>Ξ918245</t>
  </si>
  <si>
    <t>ΛΙΤΟ ΝΑΤΑΣΑ</t>
  </si>
  <si>
    <t>ΑΚ046441</t>
  </si>
  <si>
    <t>ΛΙΤΟΒΟΛΗΣ ΧΡΗΣΤΟΣ</t>
  </si>
  <si>
    <t>ΑΚ443640</t>
  </si>
  <si>
    <t>ΛΙΤΟΣ ΑΧΙΛΛΕΑΣ</t>
  </si>
  <si>
    <t>ΑΚ046435</t>
  </si>
  <si>
    <t>ΛΙΤΣΟΣ ΚΩΝΣΤΑΝΤΙΝΟΣ</t>
  </si>
  <si>
    <t>Ρ773681</t>
  </si>
  <si>
    <t>ΛΙΤΣΟΣ ΧΡΗΣΤΟΣ</t>
  </si>
  <si>
    <t>Ρ232640</t>
  </si>
  <si>
    <t>ΛΙΩΝΗΣ ΙΩΑΝΝΗΣ</t>
  </si>
  <si>
    <t>Ν574275</t>
  </si>
  <si>
    <t>ΛΟΒΙΤΗ ΧΡΥΣΟΥΛΑ</t>
  </si>
  <si>
    <t>Χ636969</t>
  </si>
  <si>
    <t>ΛΟΓΟΘΕΤΗ ΑΚΡΙΒΗ</t>
  </si>
  <si>
    <t>Χ598389</t>
  </si>
  <si>
    <t>ΛΟΙΖΙΔΗ ΜΑΡΙΑ</t>
  </si>
  <si>
    <t>Τ523918</t>
  </si>
  <si>
    <t>ΛΟΙΖΙΔΟΥ ΜΑΡΙΑ</t>
  </si>
  <si>
    <t>ΑΒ027734</t>
  </si>
  <si>
    <t>ΛΟΛΑ ΜΑΡΙΑ</t>
  </si>
  <si>
    <t>ΑΑ335367</t>
  </si>
  <si>
    <t>ΛΟΛΑΣ ΓΕΩΡΓΙΟΣ</t>
  </si>
  <si>
    <t>ΑΝ344721</t>
  </si>
  <si>
    <t>ΛΟΣΗΣ ΧΡΗΣΤΟΣ</t>
  </si>
  <si>
    <t>ΑΙ729255</t>
  </si>
  <si>
    <t>ΛΟΥΒΑΡΗΣ ΚΥΡΙΑΚΟΣ</t>
  </si>
  <si>
    <t>ΑΚ870884</t>
  </si>
  <si>
    <t>ΛΟΥΔΙΑΝΟΥ ΕΛΕΝΗ</t>
  </si>
  <si>
    <t>ΑΙ442571</t>
  </si>
  <si>
    <t>ΛΟΥΚΑ ΒΑΣΙΛΙΚΗ</t>
  </si>
  <si>
    <t>ΑΕ982911</t>
  </si>
  <si>
    <t>ΛΟΥΚΑ ΜΑΡΙΑ ΑΝΝΑ</t>
  </si>
  <si>
    <t>Π811129</t>
  </si>
  <si>
    <t>ΛΟΥΚΑΚΗ ΔΕΣΠΟΙΝΑ</t>
  </si>
  <si>
    <t>ΑΗ507519</t>
  </si>
  <si>
    <t>ΛΟΥΚΑΣ ΒΑΣΙΛΗΣ</t>
  </si>
  <si>
    <t>ΑΒ984954</t>
  </si>
  <si>
    <t>ΛΟΥΚΑΣ ΝΙΚΟΛΑΟΣ</t>
  </si>
  <si>
    <t>Ρ773926</t>
  </si>
  <si>
    <t>ΛΟΥΚΑΣ ΣΩΣΙΠΑΤΡΟΣ</t>
  </si>
  <si>
    <t>ΑΒ043628</t>
  </si>
  <si>
    <t>ΛΟΥΚΟΠΟΥΛΟΥ ΜΑΡΙΑ</t>
  </si>
  <si>
    <t>ΑΜ998855</t>
  </si>
  <si>
    <t>ΛΟΥΛΑΤΖΗΣ ΝΙΚΟΛΑΟΣ</t>
  </si>
  <si>
    <t>ΑΚ328508</t>
  </si>
  <si>
    <t>ΛΟΥΛΟΥΡΓΑΣ ΕΛΕΥΘΕΡΙΟΣ</t>
  </si>
  <si>
    <t>ΑΕ942787</t>
  </si>
  <si>
    <t>ΛΟΥΠΑ ΜΑΡΙΑ</t>
  </si>
  <si>
    <t>ΑΜ439853</t>
  </si>
  <si>
    <t>ΛΟΥΠΑΣ ΗΛΙΑΣ</t>
  </si>
  <si>
    <t>ΑΗ380409</t>
  </si>
  <si>
    <t>ΛΟΥΠΟΥ ΕΙΡΗΝΗ</t>
  </si>
  <si>
    <t>Σ927169</t>
  </si>
  <si>
    <t>ΛΟΥΤΣΑΣ ΑΣΗΜΑΚΗΣ</t>
  </si>
  <si>
    <t>ΑΙ495419</t>
  </si>
  <si>
    <t>ΛΥΚΟΤΡΑΦΙΤΗ ΓΕΩΡΓΙΑ</t>
  </si>
  <si>
    <t>Ρ414263</t>
  </si>
  <si>
    <t>ΛΥΚΟΤΡΑΦΙΤΗ ΓΕΩΡΓΙΑ-ΝΙΚΟΛΕΤΤΑ</t>
  </si>
  <si>
    <t>ΑΕ062144</t>
  </si>
  <si>
    <t>ΛΥΚΟΥ ΑΙΚΑΤΕΡΙΝΗ</t>
  </si>
  <si>
    <t>Ρ808897</t>
  </si>
  <si>
    <t xml:space="preserve">ΛΥΚΟΥ ΕΛΕΝΗ </t>
  </si>
  <si>
    <t>ΑΖ157475</t>
  </si>
  <si>
    <t xml:space="preserve">ΛΥΚΟΥ ΣΤΕΛΛΑ </t>
  </si>
  <si>
    <t>Χ245538</t>
  </si>
  <si>
    <t>ΛΥΚΟΥΔΗ ΚΩΝΣΤΑΝΤΙΝΑ</t>
  </si>
  <si>
    <t>Χ402106</t>
  </si>
  <si>
    <t>ΛΥΚΟΥΡΓΙΩΤΗ ΕΛΕΝΗ</t>
  </si>
  <si>
    <t>ΑΖ706521</t>
  </si>
  <si>
    <t>Λυμπερης Νικολαος</t>
  </si>
  <si>
    <t>Ηλι</t>
  </si>
  <si>
    <t>Ρ921153</t>
  </si>
  <si>
    <t>ΛΥΜΠΕΡΟΠΟΥΛΟΣ ΠΑΝΑΓΙΩΤΗΣ</t>
  </si>
  <si>
    <t>Σ500158</t>
  </si>
  <si>
    <t>ΛΥΜΠΕΡΟΠΟΥΛΟΥ ΜΑΡΙΑ</t>
  </si>
  <si>
    <t>ΑΙ795004</t>
  </si>
  <si>
    <t>ΛΥΠΗΜΕΝΟΥ ΔΗΜΗΤΡΑ</t>
  </si>
  <si>
    <t>Χ512111</t>
  </si>
  <si>
    <t>ΛΥΠΙΤΚΑ ΜΕΛΠΟΜΕΝΗ</t>
  </si>
  <si>
    <t>Σ988992</t>
  </si>
  <si>
    <t xml:space="preserve">ΛΥΡΑ  ΕΛΕΝΗ </t>
  </si>
  <si>
    <t>Ρ869989</t>
  </si>
  <si>
    <t>ΛΥΡΗΣ ΚΩΝΣΤΑΝΤΙΝΟΣ</t>
  </si>
  <si>
    <t>ΑΒ968823</t>
  </si>
  <si>
    <t>ΛΥΡΗΣ ΜΑΡΙΝΟΣ</t>
  </si>
  <si>
    <t>Π965117</t>
  </si>
  <si>
    <t>ΛΥΡΗΣ ΣΠΥΡΙΔΩΝ</t>
  </si>
  <si>
    <t>ΑΜ305033</t>
  </si>
  <si>
    <t>ΛΥΡΙΤΖΗΣ ΑΓΓΕΛΟΣ</t>
  </si>
  <si>
    <t>Μ970455</t>
  </si>
  <si>
    <t>ΛΥΡΩΝΗΣ ΜΙΧΑΗΛ</t>
  </si>
  <si>
    <t>Τ046439</t>
  </si>
  <si>
    <t>ΛΥΣΠΕΡΟΓΛΟΥ ΔΗΜΗΤΡΑ</t>
  </si>
  <si>
    <t>ΒΕΡ</t>
  </si>
  <si>
    <t>Τ155528</t>
  </si>
  <si>
    <t>ΛΥΣΣΑΝΔΡΟΠΟΥΛΟΣ ΔΗΜΗΤΡΙΟΣ</t>
  </si>
  <si>
    <t>ΛΥΤΡΙΔΗΣ ΓΕΩΡΓΙΟΣ</t>
  </si>
  <si>
    <t>Φ156437</t>
  </si>
  <si>
    <t>ΛΩΛΗ ΝΑΥΣΙΚΑ</t>
  </si>
  <si>
    <t>Ρ842554</t>
  </si>
  <si>
    <t>ΛΩΡΗ ΓΕΩΡΓΙΑ</t>
  </si>
  <si>
    <t>ΑΙ025435</t>
  </si>
  <si>
    <t>ΜΑΒΙΔΗΣ ΓΕΩΡΓΙΟΣ</t>
  </si>
  <si>
    <t>Τ017510</t>
  </si>
  <si>
    <t>ΜΑΒΙΔΟΥ ΣΤΥΛΙΑΝΗ</t>
  </si>
  <si>
    <t>Π782419</t>
  </si>
  <si>
    <t>ΜΑΓΑΛΙΑΣ ΕΥΑΓΓΕΛΟΣ</t>
  </si>
  <si>
    <t>ΑΗ820095</t>
  </si>
  <si>
    <t>ΜΑΓΑΛΙΟΥ ΑΠΟΣΤΟΛΙΑ</t>
  </si>
  <si>
    <t>Ρ905940</t>
  </si>
  <si>
    <t>ΜΑΓΓΑΛΟΥ ΕΥΘΥΜΙΑ</t>
  </si>
  <si>
    <t>ΑΕ498513</t>
  </si>
  <si>
    <t>ΜΑΓΓΑΣ ΑΝΔΡΕΑΣ</t>
  </si>
  <si>
    <t>Ρ491888</t>
  </si>
  <si>
    <t>ΜΑΓΓΑΣ ΧΡΥΣΟΣΤΟΜΟΣ</t>
  </si>
  <si>
    <t>Ξ336668</t>
  </si>
  <si>
    <t>ΜΑΓΓΕΙΡΗ ΕΛΕΝΗ</t>
  </si>
  <si>
    <t>ΑΜ702175</t>
  </si>
  <si>
    <t>ΜΑΓΓΕΡΑ ΗΛΙΑ ΒΑΣΙΛΙΚΗ</t>
  </si>
  <si>
    <t>Χ374020</t>
  </si>
  <si>
    <t>ΜΑΓΓΟΥΣΗΣ ΔΗΜΗΤΡΗΣ</t>
  </si>
  <si>
    <t>Π357800</t>
  </si>
  <si>
    <t>ΜΑΓΚΑΣΙΑΝΟΣ ΓΕΩΡΓΙΟΣ</t>
  </si>
  <si>
    <t>Ρ697638</t>
  </si>
  <si>
    <t>ΜΑΓΚΑΦΑ ΒΑΣΙΛΙΚΗ</t>
  </si>
  <si>
    <t>ΑΗ206343</t>
  </si>
  <si>
    <t>ΜΑΓΚΑΦΑ ΝΑΥΣΙΚΑ</t>
  </si>
  <si>
    <t>ΑΒ790763</t>
  </si>
  <si>
    <t>ΜΑΓΚΟΣ ΒΑΣΙΛΕΙΟΣ</t>
  </si>
  <si>
    <t>ΑΙ213247</t>
  </si>
  <si>
    <t>ΜΑΓΛΑΡΑΣ ΦΩΤΙΟΣ</t>
  </si>
  <si>
    <t>ΑΚ881890</t>
  </si>
  <si>
    <t>ΜΑΓΝΗΣΑΛΗ ΑΓΓΕΛΙΚΗ</t>
  </si>
  <si>
    <t>Χ245670</t>
  </si>
  <si>
    <t>ΜΑΓΡΙΠΛΗΣ ΠΑΝΟΡΜΙΤΗΣ</t>
  </si>
  <si>
    <t>ΑΕ449936</t>
  </si>
  <si>
    <t>ΜΑΔΟΥΡΗ ΚΩΝΣΤΑΝΤΙΝΑ</t>
  </si>
  <si>
    <t>ΑΒ084387</t>
  </si>
  <si>
    <t>ΜΑΖΑΝΑΚΗ ΒΑΣΙΛΙΚΗ</t>
  </si>
  <si>
    <t>Μ956654</t>
  </si>
  <si>
    <t>ΜΑΖΙΑΝΙΤΗ ΕΛΕΝΗ</t>
  </si>
  <si>
    <t>ΑΒ804609</t>
  </si>
  <si>
    <t xml:space="preserve">ΜΑΖΩΟΥ ΠΑΝΑΓΙΩΤΑ </t>
  </si>
  <si>
    <t>Ξ473882</t>
  </si>
  <si>
    <t>ΜΑΘΙΟΥΔΑΚΗ ΑΝΑΣΤΑΣΙΑ</t>
  </si>
  <si>
    <t>Τ032864</t>
  </si>
  <si>
    <t>ΜΑΘΙΟΥΔΑΚΗΣ ΕΥΑΓΓΕΛΟΣ</t>
  </si>
  <si>
    <t>Σ992042</t>
  </si>
  <si>
    <t>ΜΑΙΝΑ ΚΩΝΣΤΑΝΤΙΝΑ</t>
  </si>
  <si>
    <t>Σ260356</t>
  </si>
  <si>
    <t>ΜΑΙΡΟΠΟΥΛΟΥ ΕΙΡΗΝΗ</t>
  </si>
  <si>
    <t>ΑΜ240368</t>
  </si>
  <si>
    <t>ΜΑΙΣΗΣ ΣΟΛΟΜΩΝ</t>
  </si>
  <si>
    <t>ΑΗ488983</t>
  </si>
  <si>
    <t>ΜΑΚΑΝΤΑΣΗΣ ΧΡΗΣΤΟΣ</t>
  </si>
  <si>
    <t>Ν576302</t>
  </si>
  <si>
    <t>ΜΑΚΑΡΙΟΥ ΝΙΚΟΛΑΟΣ</t>
  </si>
  <si>
    <t>ΑΚ691644</t>
  </si>
  <si>
    <t>ΜΑΚΑΡΙΤΗ ΣΤΑΥΡΟΥΛΑ</t>
  </si>
  <si>
    <t>ΑΒ015115</t>
  </si>
  <si>
    <t>ΜΑΚΑΡΙΤΗΣ ΝΙΚΟΛΑΟΣ</t>
  </si>
  <si>
    <t>ΑΚ343560</t>
  </si>
  <si>
    <t>ΜΑΚΚΑΣ ΑΘΑΝΑΣΙΟΣ</t>
  </si>
  <si>
    <t>ΑΖ999900</t>
  </si>
  <si>
    <t>ΜΑΚΡΗ ΑΜΑΛΙΑ</t>
  </si>
  <si>
    <t>ΑΙ309888</t>
  </si>
  <si>
    <t>ΜΑΚΡΗ ΑΝΤΩΝΙΑ</t>
  </si>
  <si>
    <t>Ρ871041</t>
  </si>
  <si>
    <t>ΜΑΚΡΗ ΕΛΕΝΗ</t>
  </si>
  <si>
    <t>ΑΝ703477</t>
  </si>
  <si>
    <t>Π485176</t>
  </si>
  <si>
    <t>ΜΑΚΡΗ ΕΥΘΑΛΙΑ</t>
  </si>
  <si>
    <t>ΑΒ730017</t>
  </si>
  <si>
    <t>ΜΑΚΡΗ ΕΥΤΥΧΙΑ</t>
  </si>
  <si>
    <t>Π936932</t>
  </si>
  <si>
    <t>ΜΑΚΡΗ ΖΩΗ</t>
  </si>
  <si>
    <t>Ρ660575</t>
  </si>
  <si>
    <t>ΜΑΚΡΗ ΚΑΤΕΡΙΝΑ</t>
  </si>
  <si>
    <t>Χ286957</t>
  </si>
  <si>
    <t>ΜΑΚΡΗ ΜΑΡΙΑ</t>
  </si>
  <si>
    <t>ΑΜ033648</t>
  </si>
  <si>
    <t>ΜΑΚΡΗ ΜΥΡΣΙΝΗ</t>
  </si>
  <si>
    <t>Χ921769</t>
  </si>
  <si>
    <t>ΜΑΚΡΗ ΝΙΚΗ</t>
  </si>
  <si>
    <t>ΑΒ079358</t>
  </si>
  <si>
    <t>ΜΑΚΡΗ ΟΥΡΑΝΙΑ</t>
  </si>
  <si>
    <t>ΑΒ199850</t>
  </si>
  <si>
    <t>ΜΑΚΡΗ ΠΑΝΑΓΙΩΤΑ</t>
  </si>
  <si>
    <t>Χ288293</t>
  </si>
  <si>
    <t>ΜΑΚΡΗ ΣΟΦΙΑ</t>
  </si>
  <si>
    <t>Σ131972</t>
  </si>
  <si>
    <t>ΜΑΚΡΗ ΧΡΙΣΤΙΝΑ</t>
  </si>
  <si>
    <t>ΑΕ528805</t>
  </si>
  <si>
    <t>ΜΑΚΡΗ-ΠΑΠΑΓΕΩΡΓΙΟΥ ΧΙΟΝΑ</t>
  </si>
  <si>
    <t>ΦΛΟ</t>
  </si>
  <si>
    <t>ΜΑΚΡΗΣ ΑΝΔΡΕΑΣ</t>
  </si>
  <si>
    <t>ΑΖ056380</t>
  </si>
  <si>
    <t>ΜΑΚΡΗΣ ΑΠΟΣΤΟΛΟΣ</t>
  </si>
  <si>
    <t>ΑΒ410852</t>
  </si>
  <si>
    <t>ΜΑΚΡΗΣ ΒΑΣΙΛΕΙΟΣ</t>
  </si>
  <si>
    <t>Χ791295</t>
  </si>
  <si>
    <t>ΜΑΚΡΗΣ ΕΥΘΥΜΙΟΣ</t>
  </si>
  <si>
    <t>Σ834104</t>
  </si>
  <si>
    <t>ΜΑΚΡΗΣ ΚΩΝΣΤΑΝΤΙΝΟΣ</t>
  </si>
  <si>
    <t>ΑΚ533018</t>
  </si>
  <si>
    <t>ΜΑΚΡΗΣ ΝΙΚΟΛΑΟΣ</t>
  </si>
  <si>
    <t>ΑΑ308609</t>
  </si>
  <si>
    <t>ΔΗΜΟΣ ΓΕΩΡΓΙΟΥ ΚΑΡΑΙΣΚΑΚΗ ΝΟΜΟΥ ΑΡΤΑΣ</t>
  </si>
  <si>
    <t>ΜΑΚΡΙΔΗΣ ΒΑΣΙΛΕΙΟΣ</t>
  </si>
  <si>
    <t>Σ229673</t>
  </si>
  <si>
    <t>ΜΑΚΡΙΔΗΣ ΧΡΗΣΤ</t>
  </si>
  <si>
    <t>ΑΖ545212</t>
  </si>
  <si>
    <t>ΜΑΚΡΙΔΟΥ ΑΝΝΑ</t>
  </si>
  <si>
    <t>ΑΖ680164</t>
  </si>
  <si>
    <t>ΜΑΚΡΙΔΟΥ ΕΛΕΝΗ</t>
  </si>
  <si>
    <t>ΑΜ101965</t>
  </si>
  <si>
    <t>ΜΑΚΡΙΔΟΥ ΜΑΡΙΑ</t>
  </si>
  <si>
    <t>ΑΙ694363</t>
  </si>
  <si>
    <t>ΜΑΚΡΟΓΙΑΝΝΗ ΣΟΦΙΑ</t>
  </si>
  <si>
    <t>Τ413490</t>
  </si>
  <si>
    <t>ΜΑΚΡΟΔΗΜΗΤΡΙΟΥ ΙΩΑΝΝΑ</t>
  </si>
  <si>
    <t>Ρ200862</t>
  </si>
  <si>
    <t>ΜΑΚΡΟΠΟΥΛΟΥ ΠΑΝΑΓΙΩΤΑ</t>
  </si>
  <si>
    <t>ΑΖ301631</t>
  </si>
  <si>
    <t>ΜΑΚΡΥΓΕΩΡΓΟΥ ΜΑΡΙΑ</t>
  </si>
  <si>
    <t>Π737651</t>
  </si>
  <si>
    <t>ΜΑΚΡΥΔΑΚΗ ΓΕΩΡΓΙΑ</t>
  </si>
  <si>
    <t>AI946381</t>
  </si>
  <si>
    <t>ΜΑΚΡΥΣΤΑΘΗ ΑΘΑΝΑΣΙΑ</t>
  </si>
  <si>
    <t>ΑΝ175089</t>
  </si>
  <si>
    <t>ΜΑΛΑΒΑΖΟΥ ΕΙΡΗΝΗ</t>
  </si>
  <si>
    <t>ΑΚ618133</t>
  </si>
  <si>
    <t>ΜΑΛΑΚΗ ΒΙΡΓΙΝΙΑ</t>
  </si>
  <si>
    <t>Χ238558</t>
  </si>
  <si>
    <t>ΜΑΛΑΜΑ ΤΡΙΑΝΤΑΦ</t>
  </si>
  <si>
    <t>ΑΒ257451</t>
  </si>
  <si>
    <t>ΜΑΛΑΜΑΣ ΒΑΣΙΛΕΙΟΣ</t>
  </si>
  <si>
    <t>Σ341840</t>
  </si>
  <si>
    <t>ΜΑΛΑΜΑΤΗ ΚΑΚΟΥΛΗ</t>
  </si>
  <si>
    <t>ΑΙ332403</t>
  </si>
  <si>
    <t>ΜΑΛΑΝΔΡΑΚΗΣ ΘΕΟΔΩΡΟΣ</t>
  </si>
  <si>
    <t>Σ551893</t>
  </si>
  <si>
    <t>ΜΑΛΕΛΗ ΜΑΡΙΑ</t>
  </si>
  <si>
    <t>Τ107778</t>
  </si>
  <si>
    <t>ΜΑΛΙΑΚΗ ΜΑΡΙΑ</t>
  </si>
  <si>
    <t>ΑΗ685130</t>
  </si>
  <si>
    <t>ΜΑΛΙΚΗ ΔΗΜΗΤΡΑ</t>
  </si>
  <si>
    <t>ΑΖ896104</t>
  </si>
  <si>
    <t>ΜΑΛΛΗ ΕΥΑΓΓΕΛΙΑ</t>
  </si>
  <si>
    <t>ΑΚ894286</t>
  </si>
  <si>
    <t>ΜΑΛΛΙΑΡΟΣ ΓΕΩΡΓΙΟΣ</t>
  </si>
  <si>
    <t>Σ889313</t>
  </si>
  <si>
    <t>ΜΑΛΛΙΚΟΥΡΤΗ ΔΗΜΗΤΡΑ</t>
  </si>
  <si>
    <t>Χ571020</t>
  </si>
  <si>
    <t>ΜΑΛΛΙΟΣ ΣΤΑΜΑΤΗΣ</t>
  </si>
  <si>
    <t>ΑΝ500472</t>
  </si>
  <si>
    <t>Μαλλιου Παναγιωτα</t>
  </si>
  <si>
    <t>ΑΙ562752</t>
  </si>
  <si>
    <t>ΜΑΛΛΟΥΣΗΣ ΚΩΣΤΑΝΤΙΝΟΣ</t>
  </si>
  <si>
    <t>ΑΜ296034</t>
  </si>
  <si>
    <t>ΜΑΛΟΥΣΗ ΧΡΥΣΑΥΓΗ</t>
  </si>
  <si>
    <t>ΑΙ436341</t>
  </si>
  <si>
    <t>ΜΑΛΟΥΤΑ ΤΡΙΑΝΤΑΦΥΛΛΙΑ</t>
  </si>
  <si>
    <t>ΑΒ884910</t>
  </si>
  <si>
    <t>ΜΑΛΤΕΖΟΥ ΑΓΓΕΛΙΚΗ</t>
  </si>
  <si>
    <t>Χ275925</t>
  </si>
  <si>
    <t>ΜΑΜΑΛΟΥ ΕΛΕΝΗ</t>
  </si>
  <si>
    <t>ΑΜ802289</t>
  </si>
  <si>
    <t>ΜΑΜΑΣ ΑΝΤΩΝΙΟΣ</t>
  </si>
  <si>
    <t>ΑΖ482793</t>
  </si>
  <si>
    <t>ΜΑΜΕΛΕΤΖΗ ΚΥΡΙΑΚΗ</t>
  </si>
  <si>
    <t>ΑΜ257179</t>
  </si>
  <si>
    <t>ΜΑΜΜΩΝΑΣ ΓΕΩΡΓΙΟΣ</t>
  </si>
  <si>
    <t>ΑΒ794472</t>
  </si>
  <si>
    <t>ΜΑΜΟΥΡΙΔΗΣ ΠΑΝΑΓΙΩΤΗΣ</t>
  </si>
  <si>
    <t>ΑΜ928543</t>
  </si>
  <si>
    <t>ΜΑΝΑΒΗ ΕΥΑΓΓΕΛΙΑ</t>
  </si>
  <si>
    <t>ΑΙ792705</t>
  </si>
  <si>
    <t>ΔΗΜΟΣ ΝΕΜΕΑΣ ΚΟΡΙΝΘΙΑΣ</t>
  </si>
  <si>
    <t>ΜΑΝΑΚΙΔΟΥ ΑΙΚΑΤΕΡΙΝΗ</t>
  </si>
  <si>
    <t>ΑΚ251102</t>
  </si>
  <si>
    <t>ΜΑΝΑΟΣ ΓΕΩΡΓΙΟΣ</t>
  </si>
  <si>
    <t>ΑΜ817772</t>
  </si>
  <si>
    <t>ΜΑΝΑΡΑ ΓΕΩΡΓΙΑ</t>
  </si>
  <si>
    <t>Ρ998631</t>
  </si>
  <si>
    <t>ΜΑΝΑΤΟΣ ΑΘΑΝΑΣΙΟΣ</t>
  </si>
  <si>
    <t>Χ507659</t>
  </si>
  <si>
    <t>ΜΑΝΔΑΛΙΑΝΟΥ ΣΟΦΙΑ</t>
  </si>
  <si>
    <t>ΑΑ384880</t>
  </si>
  <si>
    <t>ΜΑΝΔΑΡΗ ΣΤΥΛΙΑΝΗ</t>
  </si>
  <si>
    <t>ΑΚ909281</t>
  </si>
  <si>
    <t>ΔΗΜΟΤΙΚΗ ΕΠΙΧΕΙΡΗΣΗ ΥΔΡΕΥΣΗΣ ΚΑΙ ΑΠΟΧΕΤΕΥΣΗΣ (Δ.Ε.Υ.Α.) ΘΕΡΜΗΣ</t>
  </si>
  <si>
    <t>ΜΑΝΔΗΛΑΡΑΣ ΙΩΑΝΝΗΣ</t>
  </si>
  <si>
    <t>Χ401972</t>
  </si>
  <si>
    <t>ΜΑΝΔΡΑΓΟΥΡΕΑ-ΠΟΛΥΧΡΟΝΟΠΟΥΛΟΥ ΕΛΕΝΗ</t>
  </si>
  <si>
    <t>Τ132398</t>
  </si>
  <si>
    <t>ΜΑΝΕΤΑΣ ΕΛΕΥΘΕΡΙΟΣ</t>
  </si>
  <si>
    <t>ΑΑ061521</t>
  </si>
  <si>
    <t>ΜΑΝΗ ΖΩΗ</t>
  </si>
  <si>
    <t>Ρ899909</t>
  </si>
  <si>
    <t>ΜΑΝΙΑΤΗΣ ΙΩΑΝΝΗΣ</t>
  </si>
  <si>
    <t>Σ551798</t>
  </si>
  <si>
    <t>ΜΑΝΙΚΑΣ ΣΩΤΗΡΙΟΣ</t>
  </si>
  <si>
    <t>Ρ109224</t>
  </si>
  <si>
    <t>ΜΑΝΙΚΗ ΓΕΩΡΓΙΑ</t>
  </si>
  <si>
    <t>ΣΤΡ</t>
  </si>
  <si>
    <t>Χ299996</t>
  </si>
  <si>
    <t>ΜΑΝΙΟΥ ΒΑΣΙΛΙΚΗ</t>
  </si>
  <si>
    <t>Ρ582721</t>
  </si>
  <si>
    <t>ΜΑΝΙΩΤΗ ΚΑΛΛΙΟΠΗ</t>
  </si>
  <si>
    <t>Χ411670</t>
  </si>
  <si>
    <t>ΜΑΝΟΣ ΜΑΡΙΟΣ</t>
  </si>
  <si>
    <t>Π850604</t>
  </si>
  <si>
    <t>ΜΑΝΟΥ ΑΝΝΑ ΜΑΡΙΑ</t>
  </si>
  <si>
    <t>ΑΑ112340</t>
  </si>
  <si>
    <t>ΜΑΝΟΥ ΕΛΕΝΗ</t>
  </si>
  <si>
    <t>Τ255067</t>
  </si>
  <si>
    <t>ΜΑΝΟΥ ΚΕΡΑΣΙΑ</t>
  </si>
  <si>
    <t>Π511277</t>
  </si>
  <si>
    <t>ΜΑΝΟΥΣΑΚΗΣ ΖΑΧΑΡΙΑΣ</t>
  </si>
  <si>
    <t>Π966632</t>
  </si>
  <si>
    <t>ΜΑΝΟΥΣΟΥ ΑΘΗΝΑ</t>
  </si>
  <si>
    <t>ΑΗ828069</t>
  </si>
  <si>
    <t>ΜΑΝΟΥΣΟΥ ΣΕΒΑΣΤΗ</t>
  </si>
  <si>
    <t>Ρ057572</t>
  </si>
  <si>
    <t>ΜΑΝΤΕ ΠΕΡΙΧΑΝ</t>
  </si>
  <si>
    <t>ΑΖ410670</t>
  </si>
  <si>
    <t>ΜΑΝΤΖΑ ΓΕΩΡΓΙΑ</t>
  </si>
  <si>
    <t>ΑΓΝ</t>
  </si>
  <si>
    <t>ΑΒ832601</t>
  </si>
  <si>
    <t>ΜΑΝΤΖΑ ΕΛΕΥΘΕΡΙΑ</t>
  </si>
  <si>
    <t>ΑΒ832602</t>
  </si>
  <si>
    <t>ΜΑΝΤΖΑ ΚΑΛΛΙΟΠΗ</t>
  </si>
  <si>
    <t>Φ224993</t>
  </si>
  <si>
    <t>ΜΑΝΤΖΑΦΛΑΡΑΣ ΝΙΚΟΛΑΟΣ</t>
  </si>
  <si>
    <t>ΑΕ799331</t>
  </si>
  <si>
    <t>ΜΑΝΤΖΙΚΟΣ ΑΛΕΞΑΝΔΡΟΣ</t>
  </si>
  <si>
    <t>Ξ743781</t>
  </si>
  <si>
    <t>ΜΑΝΤΖΙΟΥ ΣΤΑΥΡΟΥΛΑ</t>
  </si>
  <si>
    <t>ΑΗ600306</t>
  </si>
  <si>
    <t>ΜΑΝΤΟΥΚΑ ΔΗΜΗΤΡΑ</t>
  </si>
  <si>
    <t>Χ178085</t>
  </si>
  <si>
    <t>ΜΑΝΤΟΥΛΙΔΗΣ ΓΙΩΡΓΟΣ</t>
  </si>
  <si>
    <t>ΑΗ493311</t>
  </si>
  <si>
    <t>ΜΑΝΩΛΑΚΗΣ ΓΕΩΡΓΙΟΣ</t>
  </si>
  <si>
    <t>ΑΜ976298</t>
  </si>
  <si>
    <t>ΜΑΝΩΛΑΚΗΣ ΙΩΑΝΝΗΣ</t>
  </si>
  <si>
    <t>ΑΗ832762</t>
  </si>
  <si>
    <t>ΜΑΝΩΛΗ ΒΑΣΙΛΙΚΗ</t>
  </si>
  <si>
    <t>Ρ386560</t>
  </si>
  <si>
    <t>ΜΑΝΩΛΗ ΚΩΝΣΤΑΝΤΙΑ ΕΛΕΝΗ</t>
  </si>
  <si>
    <t>Π904557</t>
  </si>
  <si>
    <t>ΜΑΝΩΛΗ ΜΑΡΙΑ</t>
  </si>
  <si>
    <t>ΑΖ761314</t>
  </si>
  <si>
    <t>ΜΑΝΩΛΗΣ ΕΜΜΑΝΟΥΗΛ</t>
  </si>
  <si>
    <t>ΑΖ951140</t>
  </si>
  <si>
    <t>ΜΑΝΩΛΙΑ ΜΑΡΙΑ</t>
  </si>
  <si>
    <t>ΑΖ077309</t>
  </si>
  <si>
    <t>ΜΑΝΩΛΙΚΑΚΗΣ ΜΙΧΑΗΛ</t>
  </si>
  <si>
    <t>Μ954699</t>
  </si>
  <si>
    <t>ΜΑΝΩΛΙΟΥΔΑΚΗ ΧΑΡΙΚΛΕΙΑ</t>
  </si>
  <si>
    <t>ΑΗ119966</t>
  </si>
  <si>
    <t>ΜΑΝΩΛΟΠΟΥΛΟΣ ΑΓΓΕΛΟΣ</t>
  </si>
  <si>
    <t>ΑΝ803981</t>
  </si>
  <si>
    <t>ΜΑΝΩΛΟΥΔΑΣ ΕΥΘΥΜΙΟΣ</t>
  </si>
  <si>
    <t>Χ992021</t>
  </si>
  <si>
    <t>ΜΑΝΩΛΟΥΤΣΟΣ ΜΙΧΑΛΗΣ</t>
  </si>
  <si>
    <t>Ξ904804</t>
  </si>
  <si>
    <t>ΜΑΡΑΓΙΑΝΝΗ ΑΛΕΞΑΝΔΡΑ</t>
  </si>
  <si>
    <t>ΑΚ330620</t>
  </si>
  <si>
    <t>ΜΑΡΑΓΚΟΣ ΘΩΜΑΣ</t>
  </si>
  <si>
    <t>ΑΚ197605</t>
  </si>
  <si>
    <t>ΜΑΡΑΓΚΟΣ ΜΙΧΑΗΛ</t>
  </si>
  <si>
    <t>Σ826087</t>
  </si>
  <si>
    <t>ΜΑΡΑΝΤΙΔΗΣ ΠΑΝΤΕΛΗΣ</t>
  </si>
  <si>
    <t>ΑΚ606013</t>
  </si>
  <si>
    <t>ΜΑΡΑΤΟΥ ΟΥΡΑΝΙΑ</t>
  </si>
  <si>
    <t>ΑΚ528813</t>
  </si>
  <si>
    <t>ΜΑΡΓΑΡΙΤΗ ΜΑΡΙΑ</t>
  </si>
  <si>
    <t>ΑΑ942145</t>
  </si>
  <si>
    <t>ΜΑΡΓΑΡΙΤΗΣ ΠΑΝΑΓΙΩΤΗΣ</t>
  </si>
  <si>
    <t>ΑΙ681948</t>
  </si>
  <si>
    <t>ΜΑΡΓΙΟΛΑΚΗ ΕΙΡΗΝΗ</t>
  </si>
  <si>
    <t>ΑΗ488233</t>
  </si>
  <si>
    <t xml:space="preserve">ΜΑΡΙΑ ΙΩΣΗΦΙΔΟΥ </t>
  </si>
  <si>
    <t>Ι128648</t>
  </si>
  <si>
    <t>ΜΑΡΙΑ ΚΡΙΝΗ</t>
  </si>
  <si>
    <t>ΑΒ556718</t>
  </si>
  <si>
    <t>ΜΑΡΙΑΝΟΣ ΒΑΣΙΛΕΙΟΣ</t>
  </si>
  <si>
    <t>Σ493882</t>
  </si>
  <si>
    <t>ΜΑΡΙΚΑΚΗΣ ΝΙΚΟΛΑΟΣ</t>
  </si>
  <si>
    <t>Χ916302</t>
  </si>
  <si>
    <t xml:space="preserve">ΜΑΡΙΝΑ ΜΑΝΙΑΤΑΚΗ </t>
  </si>
  <si>
    <t>ΑΚ746946</t>
  </si>
  <si>
    <t>ΜΑΡΙΝΑΚΗ ΜΑΡΙΑ</t>
  </si>
  <si>
    <t>ΑΙ487707</t>
  </si>
  <si>
    <t>ΜΑΡΙΝΑΚΗΣ ΓΕΩΡΓΙΟΣ</t>
  </si>
  <si>
    <t>ΑΙ457183</t>
  </si>
  <si>
    <t>ΜΑΡΙΝΑΚΗΣ ΧΑΡΑΛΑΜΠΟΣ</t>
  </si>
  <si>
    <t>Σ488371</t>
  </si>
  <si>
    <t>ΜΑΡΙΝΟΣ ΚΩΝΣΤΑΝΤΙΝΟΣ</t>
  </si>
  <si>
    <t>Ρ401121</t>
  </si>
  <si>
    <t>ΜΑΡΙΝΟΥ ΤΕΡΨΙΧΟΡΗ</t>
  </si>
  <si>
    <t>ΑΙ421660</t>
  </si>
  <si>
    <t>ΥΕ ΓΕΝΙΚΩΝ ΚΑΘΗΚΟΝΤΩΝ</t>
  </si>
  <si>
    <t>ΜΑΡΙΤΣΑΣ ΙΑΚΩΒΟΣ</t>
  </si>
  <si>
    <t>Μ801997</t>
  </si>
  <si>
    <t>ΜΑΡΚΑΚΗΣ ΝΙΚΟΛΑΟΣ</t>
  </si>
  <si>
    <t>Τ296409</t>
  </si>
  <si>
    <t>ΜΑΡΚΟΜΑΝΩΛΑΚΗ ΑΡΧΟΝΤΙΑ</t>
  </si>
  <si>
    <t>ΑΚ608220</t>
  </si>
  <si>
    <t>ΔΗΜΟΣ ΖΩΓΡΑΦΟΥ</t>
  </si>
  <si>
    <t>ΥΕ ΕΡΓΑΤΩΝ - ΦΥΛΑΚΩΝ</t>
  </si>
  <si>
    <t>ΜΑΡΚΟΜΑΝΩΛΑΚΗΣ ΔΗΜΗΤΡΙΟΣ</t>
  </si>
  <si>
    <t>ΑΖ537737</t>
  </si>
  <si>
    <t>ΜΑΡΚΟΠΟΥΛΙΩΤΗΣ ΧΡΗΣΤΟΣ</t>
  </si>
  <si>
    <t>Ν586650</t>
  </si>
  <si>
    <t>ΜΑΡΚΟΠΟΥΛΟΣ ΑΝΑΣΤΑΣΙΟΣ</t>
  </si>
  <si>
    <t>ΑΖ953217</t>
  </si>
  <si>
    <t>ΜΑΡΚΟΠΟΥΛΟΣ ΘΕΟΔΩΡΟΣ</t>
  </si>
  <si>
    <t>ΑΖ711097</t>
  </si>
  <si>
    <t>ΜΑΡΚΟΠΟΥΛΟΣ ΙΩΑΝΝΗΣ</t>
  </si>
  <si>
    <t>ΑΜ549975</t>
  </si>
  <si>
    <t>ΜΑΡΚΟΠΟΥΛΟΣ ΜΙΛΤΙΑΔΗΣ</t>
  </si>
  <si>
    <t>ΑΖ697281</t>
  </si>
  <si>
    <t>ΜΑΡΚΟΠΟΥΛΟΥ ΧΡΙΣΤΙΝΑ</t>
  </si>
  <si>
    <t>Χ988683</t>
  </si>
  <si>
    <t>ΜΑΡΚΟΥ ΕΛΕΝΗ</t>
  </si>
  <si>
    <t>ΑΒ864951</t>
  </si>
  <si>
    <t>ΜΑΡΚΟΥ ΕΥΑΝΘΙΑ</t>
  </si>
  <si>
    <t>ΑΗ247931</t>
  </si>
  <si>
    <t>ΜΑΡΚΟΥ ΚΑΛΛΙΟΠΗ</t>
  </si>
  <si>
    <t>Ξ113711</t>
  </si>
  <si>
    <t>ΜΑΡΚΟΥ ΠΑΡΑΣΚΕΥΗ</t>
  </si>
  <si>
    <t>ΑΙ985746</t>
  </si>
  <si>
    <t>ΜΑΡΚΟΥΛΑΚΗ ΕΥΓΕΝΙΑ</t>
  </si>
  <si>
    <t>ΜΙΝ</t>
  </si>
  <si>
    <t>Ξ922137</t>
  </si>
  <si>
    <t>ΜΑΡΚΟΥΤΣΑ ΜΑΡΙΑ</t>
  </si>
  <si>
    <t>ΑΚ717868</t>
  </si>
  <si>
    <t>ΜΑΡΛΑΓΚΟΥΤΣΟΣ ΑΝΔΡΕΑΣ</t>
  </si>
  <si>
    <t>ΑΚ370677</t>
  </si>
  <si>
    <t>ΜΑΡΛΑΓΚΟΥΤΣΟΥ ΕΛΕΝΗ</t>
  </si>
  <si>
    <t>ΑΜ077943</t>
  </si>
  <si>
    <t>ΜΑΡΜΑΡΙΝΟΣ ΜΙΧΑΗΛ</t>
  </si>
  <si>
    <t>ΑΒ305811</t>
  </si>
  <si>
    <t>ΜΑΡΟΥΔΑ ΚΩΝΣΤΑΝΤΙΝΑ</t>
  </si>
  <si>
    <t>ΑΚ265834</t>
  </si>
  <si>
    <t>ΜΑΡΟΥΛΗ ΠΑΝΑΓΙΩΤΑ</t>
  </si>
  <si>
    <t>Χ332632</t>
  </si>
  <si>
    <t>ΜΑΡΤΑΚΗ ΕΥΓΕΝΙΑ</t>
  </si>
  <si>
    <t>ΑΗ934895</t>
  </si>
  <si>
    <t>ΜΑΡΤΖΑΚΛΗ ΘΕΟΔΩΡΑ</t>
  </si>
  <si>
    <t>ΑΜ300022</t>
  </si>
  <si>
    <t>ΜΑΡΤΖΕΛΟΥ ΔΕΣΠΟΙΝΑ</t>
  </si>
  <si>
    <t>ΑΚ249311</t>
  </si>
  <si>
    <t>ΜΑΡΤΙΔΗΣ ΒΑΣΙΛΕΙΟΣ</t>
  </si>
  <si>
    <t>ΑΗ443683</t>
  </si>
  <si>
    <t>ΜΑΡΤΙΝΙΔΗΣ ΧΡΗΣΤΟΣ</t>
  </si>
  <si>
    <t>ΚΙΜ</t>
  </si>
  <si>
    <t>ΑΙ372350</t>
  </si>
  <si>
    <t>ΜΑΡΤΙΝΟΣ ΓΕΩΡΓΙΟΣ</t>
  </si>
  <si>
    <t>ΑΗ099004</t>
  </si>
  <si>
    <t>ΜΑΡΤΙΝΟΣ ΝΙΚΟΛΑΟΣ</t>
  </si>
  <si>
    <t>Ν226501</t>
  </si>
  <si>
    <t>ΜΑΡΤΙΝΟΣ ΣΠΥΡΙΔΩΝ</t>
  </si>
  <si>
    <t>ΑΒ241300</t>
  </si>
  <si>
    <t>ΜΑΡΤΙΝΟΥ ΙΩΑΝΝΑ</t>
  </si>
  <si>
    <t>Ξ976707</t>
  </si>
  <si>
    <t>ΜΑΡΤΣΑΚΗΣ ΧΡΗΣΤΟΣ</t>
  </si>
  <si>
    <t>ΑΜ977386</t>
  </si>
  <si>
    <t>ΜΑΡΤΣΕΛΟΥ ΜΑΡΙΑ</t>
  </si>
  <si>
    <t>ΑΜ631884</t>
  </si>
  <si>
    <t>ΜΑΣΑΟΥΤΑΣ ΣΤΥΛΙΑΝΟΣ</t>
  </si>
  <si>
    <t>ΑΒ829938</t>
  </si>
  <si>
    <t>ΜΑΣΕΛΑΣ ΧΡΗΣΤΟΣ</t>
  </si>
  <si>
    <t>ΑΙ417816</t>
  </si>
  <si>
    <t>ΜΑΣΙΩΤΗ ΑΡΕΤΗ</t>
  </si>
  <si>
    <t>ΚΛΗ</t>
  </si>
  <si>
    <t>Φ340241</t>
  </si>
  <si>
    <t>ΜΑΣΜΑΝΙΔΗΣ ΔΗΜΗΤΡΙΟΣ</t>
  </si>
  <si>
    <t>Χ873152</t>
  </si>
  <si>
    <t>ΜΑΣΟΥΡΑ ΑΡΓΥΡΟΥΛΑ</t>
  </si>
  <si>
    <t>Ρ121566</t>
  </si>
  <si>
    <t>ΜΑΣΟΥΡΗ ΙΩΑΝΝΑ</t>
  </si>
  <si>
    <t>ΑΑ354647</t>
  </si>
  <si>
    <t>ΜΑΣΟΥΡΗΣ ΑΘΑΝΑΣΙΟΣ</t>
  </si>
  <si>
    <t>ΑΖ727271</t>
  </si>
  <si>
    <t>ΜΑΣΣΑΡΟΣ ΧΡΥΣΟΒΑΛΑΝΤΗΣ</t>
  </si>
  <si>
    <t>ΑΖ967590</t>
  </si>
  <si>
    <t>ΜΑΣΤΟΡΑΚΗ ΜΑΡΙΑ</t>
  </si>
  <si>
    <t>ΑΚ448807</t>
  </si>
  <si>
    <t>ΜΑΣΤΟΡΟΥ ΚΑΛΛΙΟΠΗ</t>
  </si>
  <si>
    <t>Τ123609</t>
  </si>
  <si>
    <t>ΜΑΣΤΡΟΓΙΑΝΝΑΚΟΣ ΘΕΟΔΩΡΟΣ</t>
  </si>
  <si>
    <t>ΑΝ396824</t>
  </si>
  <si>
    <t>ΜΑΣΤΡΟΓΙΑΝΝΑΚΟΥ ΒΑΣΙΛΙΚΗ</t>
  </si>
  <si>
    <t>Τ940729</t>
  </si>
  <si>
    <t>ΜΑΣΤΡΟΓΙΑΝΝΗΣ ΑΝΤΩΝΙΟΣ</t>
  </si>
  <si>
    <t>Π630045</t>
  </si>
  <si>
    <t>ΜΑΣΤΡΟΘΑΝΑΣΗ ΠΑΝΑΓΙΩΤΑ</t>
  </si>
  <si>
    <t>ΑΗ993817</t>
  </si>
  <si>
    <t>ΜΑΣΩΤΗΣ ΠΑΝΑΓΙΩΤΗΣ</t>
  </si>
  <si>
    <t>ΑΗ304018</t>
  </si>
  <si>
    <t>ΜΑΤΑΛΑΣ ΔΗΜΟΣΘΕΝΗΣ</t>
  </si>
  <si>
    <t>Ρ370680</t>
  </si>
  <si>
    <t>ΜΑΤΑΡΑΓΚΑ ΒΑΣΙΛΙΚΗ</t>
  </si>
  <si>
    <t>Χ841257</t>
  </si>
  <si>
    <t>ΜΑΤΑΡΑΓΚΑ ΦΩΤΕΙΝΗ</t>
  </si>
  <si>
    <t>Σ680571</t>
  </si>
  <si>
    <t>ΜΑΤΖΑΡΑΚΗ ΚΥΡΙΑΚΗ</t>
  </si>
  <si>
    <t>ΑΚ272774</t>
  </si>
  <si>
    <t>ΜΑΤΖΑΡΙΔΗΣ ΓΕΩΡΓΙΟΣ</t>
  </si>
  <si>
    <t>ΑΚ4367708</t>
  </si>
  <si>
    <t>ΜΑΤΘΑΙΟΥ ΑΓΓΕΛΙΚΗ</t>
  </si>
  <si>
    <t>Π022855</t>
  </si>
  <si>
    <t>ΜΑΤΙΝΕΛΗΣ ΔΗΜΗΤΡΙΟΣ</t>
  </si>
  <si>
    <t>Χ950866</t>
  </si>
  <si>
    <t>ΜΑΤΟΥΛΑ ΙΩΑΝΝΑ</t>
  </si>
  <si>
    <t>Χ410163</t>
  </si>
  <si>
    <t>ΜΑΤΟΥΛΑ ΣΤΕΛΛΑ</t>
  </si>
  <si>
    <t>Χ410113</t>
  </si>
  <si>
    <t>ΜΑΤΟΥΛΑΣ ΗΛΙΑΣ</t>
  </si>
  <si>
    <t>Μ845804</t>
  </si>
  <si>
    <t>ΜΑΤΣΑΓΚΟΣ ΔΗΜΗΤΡΙΟΣ</t>
  </si>
  <si>
    <t>Χ372200</t>
  </si>
  <si>
    <t>ΜΑΤΣΑΡΙΔΗΣ ΟΜΗΡΟΣ</t>
  </si>
  <si>
    <t>ΑΗ137129</t>
  </si>
  <si>
    <t>ΜΑΤΣΙΚΟΥΔΗΣ ΠΑΝΑΓΙΩΤΗΣ</t>
  </si>
  <si>
    <t>ΑΖ147414</t>
  </si>
  <si>
    <t>ΜΑΤΣΟΥΚΑ ΣΤΑΥΡΟΥΛΑ</t>
  </si>
  <si>
    <t>ΑΙ854288</t>
  </si>
  <si>
    <t>ΜΑΤΣΟΥΚΗΣ ΔΗΜΗΤΡΙΟΣ</t>
  </si>
  <si>
    <t>ΑΜ059689</t>
  </si>
  <si>
    <t>ΜΑΥΡΑΓΚΑ ΜΑΡΓΑΡΙΤΑ</t>
  </si>
  <si>
    <t>ΑΖ941240</t>
  </si>
  <si>
    <t xml:space="preserve">ΜΑΥΡΑΚΗ  ΚΑΛΛΙΟΠΗ </t>
  </si>
  <si>
    <t>Π158974</t>
  </si>
  <si>
    <t>ΜΑΥΡΑΚΗΣ ΑΛΕΞΑΝΔΡΟΣ</t>
  </si>
  <si>
    <t>Τ194388</t>
  </si>
  <si>
    <t>ΜΑΥΡΑΝΤΩΝΗΣ ΙΩΑΝΝΗΣ</t>
  </si>
  <si>
    <t>ΑΙ382454</t>
  </si>
  <si>
    <t>ΜΑΥΡΑΤΖΩΤΗΣ ΙΩΑΝΝΗΣ</t>
  </si>
  <si>
    <t>ΣΟΦ</t>
  </si>
  <si>
    <t>Σ137643</t>
  </si>
  <si>
    <t>ΜΑΥΡΗ ΕΛΕΝΗ</t>
  </si>
  <si>
    <t>ΑΗ968108</t>
  </si>
  <si>
    <t>ΜΑΥΡΗΣ ΣΤΥΛΙΑΝΟΣ</t>
  </si>
  <si>
    <t>Σ914749</t>
  </si>
  <si>
    <t>ΜΑΥΡΙΔΗ ΟΥΡΑΝΙΑ</t>
  </si>
  <si>
    <t>ΑΕ098050</t>
  </si>
  <si>
    <t>ΜΑΥΡΙΔΗΣ ΒΑΣΙΛΕΙΟΣ</t>
  </si>
  <si>
    <t>ΑΙ876176</t>
  </si>
  <si>
    <t>ΜΑΥΡΙΔΗΣ ΜΙΧΑΛΗΣ</t>
  </si>
  <si>
    <t>Φ454070</t>
  </si>
  <si>
    <t>ΜΑΥΡΙΔΟΥ ΑΝΝΕΤΑ</t>
  </si>
  <si>
    <t>ΑΖ872690</t>
  </si>
  <si>
    <t>ΜΑΥΡΙΔΟΥ ΓΕΩΡΓΙΑ</t>
  </si>
  <si>
    <t>ΑΖ140146</t>
  </si>
  <si>
    <t>ΜΑΥΡΙΔΟΥ ΧΡΥΣΑΝΘΗ</t>
  </si>
  <si>
    <t>Ρ202530</t>
  </si>
  <si>
    <t>Μαυριδου Ελενη</t>
  </si>
  <si>
    <t>Θεο</t>
  </si>
  <si>
    <t>ΑΜ227761</t>
  </si>
  <si>
    <t>ΜΑΥΡΙΔΟΥ  ΚΟΡΝΗΛΙΑ</t>
  </si>
  <si>
    <t>ΑΚ302127</t>
  </si>
  <si>
    <t>ΜΑΥΡΟΓΙΑΝΝΑΚΗΣ ΔΗΜΗΤΡΙΟΣ</t>
  </si>
  <si>
    <t>ΑΒ608658</t>
  </si>
  <si>
    <t>ΜΑΥΡΟΕΙΔΗΣ ΕΥΑΓΓΕΛΟΣ</t>
  </si>
  <si>
    <t>ΑΝ167835</t>
  </si>
  <si>
    <t>ΜΑΥΡΟΕΙΔΗΣ ΠΑΝΑΓΙΩΤΗΣ</t>
  </si>
  <si>
    <t>Τ266793</t>
  </si>
  <si>
    <t>ΜΑΥΡΟΜΑΤΗ ΕΛΕΝΗ</t>
  </si>
  <si>
    <t>Χ409194</t>
  </si>
  <si>
    <t>ΜΑΥΡΟΜΑΤΗ ΚΩΝΣΤΑΝΤΙΑ</t>
  </si>
  <si>
    <t>Ρ947428</t>
  </si>
  <si>
    <t>ΜΑΥΡΟΜΑΤΗ ΣΟΦΙΑ</t>
  </si>
  <si>
    <t>ΑΙ349138</t>
  </si>
  <si>
    <t>ΜΑΥΡΟΜΑΤΗΣ ΙΩΑΝΝΗΣ</t>
  </si>
  <si>
    <t>ΑΖ417066</t>
  </si>
  <si>
    <t>ΜΑΥΡΟΜΜΑΤΗ ΕΥΑΓΓΕΛΙΑ</t>
  </si>
  <si>
    <t>Φ329039</t>
  </si>
  <si>
    <t>ΜΑΥΡΟΜΜΑΤΗΣ ΓΕΩΡΓΙΟΣ</t>
  </si>
  <si>
    <t>Ρ335560</t>
  </si>
  <si>
    <t>ΜΑΥΡΟΝΑΣΟΣ ΝΙΚΟΛΑΟΣ</t>
  </si>
  <si>
    <t>ΜΕΛ</t>
  </si>
  <si>
    <t>ΑΖ628058</t>
  </si>
  <si>
    <t>ΜΑΥΡΟΠΟΥΛΟΣ ΑΘΑΝΑΣΙΟΣ</t>
  </si>
  <si>
    <t>ΑΒ456238</t>
  </si>
  <si>
    <t>ΜΑΥΡΟΠΟΥΛΟΣ ΚΩΝΣΤΑΝΤΙΝΟΣ</t>
  </si>
  <si>
    <t>ΑΚ198465</t>
  </si>
  <si>
    <t>ΜΑΥΡΟΠΟΥΛΟΣ ΝΙΚΟΛΑΟΣ</t>
  </si>
  <si>
    <t>Ρ121780</t>
  </si>
  <si>
    <t>ΜΑΥΡΟΠΟΥΛΟΥ ΑΓΓΕΛΙΚΗ</t>
  </si>
  <si>
    <t>ΑΜ067197</t>
  </si>
  <si>
    <t>ΜΑΥΡΟΠΟΥΛΟΥ ΜΑΡΙΑ</t>
  </si>
  <si>
    <t>ΑΜ851568</t>
  </si>
  <si>
    <t>ΜΑΥΡΟΥΔΗ ΠΑΝΑΓΙΩΤΑ</t>
  </si>
  <si>
    <t>ΑΜ718094</t>
  </si>
  <si>
    <t>ΜΑΥΡΟΥΤΣΙΚΟΥ ΜΑΡΘΑ</t>
  </si>
  <si>
    <t>Τ305169</t>
  </si>
  <si>
    <t>ΜΑΧΑ ΜΑΡΙΑ</t>
  </si>
  <si>
    <t>Ρ496254</t>
  </si>
  <si>
    <t>ΜΑΧΑΙΡΑΣ ΚΩΝΣΤΑΝΤΙΝΟΣ</t>
  </si>
  <si>
    <t>ΑΒ763982</t>
  </si>
  <si>
    <t>ΜΑΧΑΙΡΑΣ ΧΡΗΣΤΟΣ</t>
  </si>
  <si>
    <t>ΑΑ360692</t>
  </si>
  <si>
    <t>ΜΑΧΑΙΡΙΔΟΥ ΔΕΣΠΟΙΝΑ</t>
  </si>
  <si>
    <t>ΙΦΙ</t>
  </si>
  <si>
    <t>ΑΖ814568</t>
  </si>
  <si>
    <t>ΜΑΧΑΙΡΟΠΟΥΛΟΥ ΣΠΥΡΙΔΟΥΛΑ</t>
  </si>
  <si>
    <t>Ρ066560</t>
  </si>
  <si>
    <t>ΜΑΧΜΟΥΤ ΟΓΛΟΥ ΓΙΛΜΑΖ</t>
  </si>
  <si>
    <t>ΑΚ449928</t>
  </si>
  <si>
    <t>ΜΕΓΑ ΑΣΗΜΩ</t>
  </si>
  <si>
    <t>ΑΖ996322</t>
  </si>
  <si>
    <t>ΜΕΓΑ ΔΗΜΗΤΡΑ</t>
  </si>
  <si>
    <t>Χ490708</t>
  </si>
  <si>
    <t>ΜΕΓΑΣ ΒΑΣΙΛΕΙΟΣ</t>
  </si>
  <si>
    <t>Μ843076</t>
  </si>
  <si>
    <t>ΜΕΓΓΟΥΛΗ ΑΛΕΞΑΝΔΡΑ</t>
  </si>
  <si>
    <t>ΑΜ890549</t>
  </si>
  <si>
    <t>ΜΕΙΝΤΑΝΗΣ ΔΗΜΗΤΡΙΟΣ ΝΙΚΟΛΑΟΣ</t>
  </si>
  <si>
    <t>ΑΖ261386</t>
  </si>
  <si>
    <t>ΜΕΛΑ ΑΓΓΕΛΙΚΗ</t>
  </si>
  <si>
    <t>ΑΒ616952</t>
  </si>
  <si>
    <t>ΜΕΛΑ ΕΛΕΝΗ</t>
  </si>
  <si>
    <t>ΑΕ199004</t>
  </si>
  <si>
    <t>ΜΕΛΑΝΟΣ ΕΥΑΓΓΕΛΟΣ</t>
  </si>
  <si>
    <t>Σ462340</t>
  </si>
  <si>
    <t>ΜΕΛΑΧΡΟΙΝΑΚΗΣ ΠΑΝΤΕΛΗΣ</t>
  </si>
  <si>
    <t>ΑΙ557804</t>
  </si>
  <si>
    <t>ΜΕΛΕΝΤΗΣ ΝΙΚΟΛΑΟΣ</t>
  </si>
  <si>
    <t>Φ098473</t>
  </si>
  <si>
    <t>ΜΕΛΕΤΙΔΟΥ ΧΡΥΣΟΥΛΑ</t>
  </si>
  <si>
    <t>Χ728710</t>
  </si>
  <si>
    <t>ΜΕΛΙΑΝΙΔΗΣ ΜΙΧΑΗΛ</t>
  </si>
  <si>
    <t>ΑΚ861624</t>
  </si>
  <si>
    <t xml:space="preserve">ΜΕΛΙΔΟΥ  ΚΥΡΙΑΚΗ </t>
  </si>
  <si>
    <t>ΑΜ252766</t>
  </si>
  <si>
    <t>ΜΕΛΙΣΟΥΡΓΑΚΗΣ ΔΗΜΟΣΘΕΝΗΣ</t>
  </si>
  <si>
    <t>ΑΙ947400</t>
  </si>
  <si>
    <t>ΜΕΛΙΣΣΗ ΕΛΙΣΑΒΕΤ</t>
  </si>
  <si>
    <t>ΑΙ 872694</t>
  </si>
  <si>
    <t>ΜΕΛΙΣΣΗΣ ΚΩΝΣΤΑΝΤΙΝΟΣ</t>
  </si>
  <si>
    <t>Τ994697</t>
  </si>
  <si>
    <t>ΜΕΛΙΣΣΟΥΡΓΑΚΗ ΜΑΡΙΑ</t>
  </si>
  <si>
    <t>Ν989178</t>
  </si>
  <si>
    <t>ΔΗΜΟΣ ΒΙΑΝΝΟΥ ΗΡΑΚΛΕΙΟΥ</t>
  </si>
  <si>
    <t>ΜΕΛΙΣΣΟΥΡΓΟΥ ΤΡΙΑΔΑ</t>
  </si>
  <si>
    <t>Ρ642431</t>
  </si>
  <si>
    <t>ΜΕΛΙΤΙΔΟΥ ΖΟΥΖΟΥΝΑ</t>
  </si>
  <si>
    <t>ΣΑΛ</t>
  </si>
  <si>
    <t>ΑΕ165619</t>
  </si>
  <si>
    <t>ΜΕΛΙΩΤΗΣ ΠΕΤΡΟΣ</t>
  </si>
  <si>
    <t>ΑΙ661547</t>
  </si>
  <si>
    <t>ΜΕΛΛΕΣ ΣΠΥΡΙΔΩΝ</t>
  </si>
  <si>
    <t>ΑΒ208066</t>
  </si>
  <si>
    <t>ΜΕΛΛΙΟΣ ΔΗΜΗΤΡΙΟΣ</t>
  </si>
  <si>
    <t>ΑΗ817259</t>
  </si>
  <si>
    <t>ΜΕΜΤΣΑ ΣΠΥΡΙΔΟΥΛΑ</t>
  </si>
  <si>
    <t>ΑΗ274592</t>
  </si>
  <si>
    <t>ΜΕΝΕΓΑΚΗ ΕΡΙΦΥΛΗ ΜΑΡΟΥΣΩ</t>
  </si>
  <si>
    <t>ΑΗ560969</t>
  </si>
  <si>
    <t>ΜΕΝΤΕΛΙΔΟΥ ΕΛΕΝΗ</t>
  </si>
  <si>
    <t>ΑΜ008054</t>
  </si>
  <si>
    <t>ΜΕΝΥΧΤΑ ΔΗΜΗΤΡΑ</t>
  </si>
  <si>
    <t>ΑΑ076901</t>
  </si>
  <si>
    <t>ΜΕΝΥΧΤΑ ΕΥΓΕΝΙΑ</t>
  </si>
  <si>
    <t>Ρ779478</t>
  </si>
  <si>
    <t>ΜΕΞΑΚΗΣ ΠΑΝΑΓΙΩΤΗΣ</t>
  </si>
  <si>
    <t>ΑΖ536028</t>
  </si>
  <si>
    <t>ΜΕΡΚΟΥΡΗΣ ΜΙΧΑΗΛ</t>
  </si>
  <si>
    <t>Ξ477150</t>
  </si>
  <si>
    <t>ΜΕΡΜΙΓΓΗ ΑΡΕΤΗ</t>
  </si>
  <si>
    <t>Χ332628</t>
  </si>
  <si>
    <t>ΜΕΡΤΖΑΝΗΣ ΔΗΜΗΤΡΙΟΣ</t>
  </si>
  <si>
    <t>Λ899687</t>
  </si>
  <si>
    <t>ΜΕΡΤΟΓΛΟΥ ΓΕΩΡΓΙΟΣ</t>
  </si>
  <si>
    <t>ΑΙ623980</t>
  </si>
  <si>
    <t>ΜΕΣΑΡΙΤΣΙΔΗΣ ΜΑΤΘΑΙΟΣ</t>
  </si>
  <si>
    <t>ΑΙ027139</t>
  </si>
  <si>
    <t>ΜΕΣΔΑΝΙΤΗΣ ΑΘΑΝΑΣΙΟΣ</t>
  </si>
  <si>
    <t>Ρ348050</t>
  </si>
  <si>
    <t>ΜΕΣΣΑΡΗΣ ΚΩΝΣΤΑΝΤΙΝΟΣ</t>
  </si>
  <si>
    <t>Ν054242</t>
  </si>
  <si>
    <t>ΜΕΣΣΗΝΕΖΗΣ ΔΗΜΗΤΡΙΟΣ</t>
  </si>
  <si>
    <t>Ρ533317</t>
  </si>
  <si>
    <t>ΜΕΣΤΡΟΣ ΓΕΩΡΓΙΟΣ</t>
  </si>
  <si>
    <t>ΑΚ604961</t>
  </si>
  <si>
    <t>ΜΕΤΑΛΛΙΔΟΥ ΑΝΑΣΤΑΣΙΑ</t>
  </si>
  <si>
    <t>Χ630340</t>
  </si>
  <si>
    <t>ΜΕΤΑΛΛΙΝΟΣ ΙΩΑΝΝΗΣ</t>
  </si>
  <si>
    <t>ΑΑ398012</t>
  </si>
  <si>
    <t>ΜΕΤΑΞΑ ΑΦΡΟΔΙΤΗ</t>
  </si>
  <si>
    <t>ΑΝ277354</t>
  </si>
  <si>
    <t>ΜΕΤΑΞΑ ΔΗΜΗΤΡΑ</t>
  </si>
  <si>
    <t>ΑΑ970563</t>
  </si>
  <si>
    <t>ΔΗΜΟΤΙΚΗ ΕΠΙΧΕΙΡΗΣΗ ΥΔΡΕΥΣΗΣ ΑΠΟΧΕΤΕΥΣΗΣ ΔΗΜΟΥ ΤΡΙΚΚΑΙΩΝ (Δ.Ε.Υ.Α. ΤΡΙΚΑΛΩΝ)</t>
  </si>
  <si>
    <t>ΜΕΤΑΞΑ ΧΡΥΣΟΥΛΑ</t>
  </si>
  <si>
    <t>Τ309265</t>
  </si>
  <si>
    <t>ΜΕΤΑΞΙΑ ΚΥΡΑΝΑΚΗ</t>
  </si>
  <si>
    <t>ΑΒ407211</t>
  </si>
  <si>
    <t>ΜΕΤΕΒΕΛΗΣ ΝΙΚΟΛΑΟΣ</t>
  </si>
  <si>
    <t>Ν475093</t>
  </si>
  <si>
    <t>ΜΕΤΙΤΑΝΙΔΗΣ ΔΗΜΗΤΡΗΣ</t>
  </si>
  <si>
    <t>ΑΚ879434</t>
  </si>
  <si>
    <t>Μετοικιδου Ελενη</t>
  </si>
  <si>
    <t>Ιωα</t>
  </si>
  <si>
    <t>Ρ139927</t>
  </si>
  <si>
    <t>ΜΗΛΑΠΙΔΟΥ ΓΙΑΝΝΟΥΛΑ</t>
  </si>
  <si>
    <t>Τ559453</t>
  </si>
  <si>
    <t>ΜΗΛΑΣ ΑΠΟΣΤΟΛΗΣ</t>
  </si>
  <si>
    <t>Π712133</t>
  </si>
  <si>
    <t>ΜΗΛΙΑΡΑ ΖΑΧΑΡΕΝΙΑ</t>
  </si>
  <si>
    <t>ΑΜ049729</t>
  </si>
  <si>
    <t>ΜΗΛΙΑΡΑΣ ΜΙΧΑΗΛ</t>
  </si>
  <si>
    <t>ΑΕ465977</t>
  </si>
  <si>
    <t>ΜΗΛΙΑΣ ΘΕΟΔΩΡΟΣ</t>
  </si>
  <si>
    <t>ΑΒ391647</t>
  </si>
  <si>
    <t>ΜΗΛΙΝΑ ΛΑΜΠΡΙΝΗ</t>
  </si>
  <si>
    <t>ΑΙ017424</t>
  </si>
  <si>
    <t>ΜΗΛΙΟΣ ΦΙΛΙΠΠΟΣ</t>
  </si>
  <si>
    <t>Σ734919</t>
  </si>
  <si>
    <t>ΜΗΛΙΩΝΗ ΕΛΕΝΗ</t>
  </si>
  <si>
    <t>Ρ855236</t>
  </si>
  <si>
    <t>ΜΗΛΙΩΡΗ ΜΑΡΙΑΝΝΑ</t>
  </si>
  <si>
    <t>Χ585713</t>
  </si>
  <si>
    <t>ΜΗΛΙΩΤΗΣ ΑΝΑΣΤΑΣΙΟΣ</t>
  </si>
  <si>
    <t>Ν493681</t>
  </si>
  <si>
    <t>ΜΗΛΙΩΤΗΣ ΓΕΩΡΓΙΟΣ</t>
  </si>
  <si>
    <t>ΑΕ484942</t>
  </si>
  <si>
    <t>ΜΗΝΑ ΔΗΜΗΤΡΑ</t>
  </si>
  <si>
    <t>ΑΙ656762</t>
  </si>
  <si>
    <t>ΜΗΝΑ ΠΑΡΑΣΚΕΥΗ</t>
  </si>
  <si>
    <t>Τ841269</t>
  </si>
  <si>
    <t>ΜΗΝΑΣ ΔΗΜΗΤΡΙΟΣ</t>
  </si>
  <si>
    <t>Ν880491</t>
  </si>
  <si>
    <t>ΜΗΣΟΥΡΑΣ ΠΑΝΑΓΙΩΤΗΣ</t>
  </si>
  <si>
    <t>Λ295274</t>
  </si>
  <si>
    <t>ΜΗΤΑΚΟΥ ΕΛΕΝΗ</t>
  </si>
  <si>
    <t>Χ979653</t>
  </si>
  <si>
    <t>ΜΗΤΑΦΗ ΘΕΟΧΑΡΗ</t>
  </si>
  <si>
    <t>Σ835416</t>
  </si>
  <si>
    <t>ΜΗΤΚΑΝΗΣ ΧΡΗΣΤΟΣ</t>
  </si>
  <si>
    <t>Τ376782</t>
  </si>
  <si>
    <t>ΜΗΤΡΑΣ ΘΕΟΔΩΡΟΣ</t>
  </si>
  <si>
    <t>ΑΙ874164</t>
  </si>
  <si>
    <t>ΜΗΤΡΟΠΙΑΣ ΕΜΜΑΝΟΥΗΛ</t>
  </si>
  <si>
    <t>Φ365295</t>
  </si>
  <si>
    <t>ΜΗΤΡΟΠΟΥΛΟΥ ΑΛΕΞΙΑ</t>
  </si>
  <si>
    <t>Φ497643</t>
  </si>
  <si>
    <t>ΜΗΤΡΟΥ ΠΑΓΩΝΑ</t>
  </si>
  <si>
    <t>Φ344998</t>
  </si>
  <si>
    <t>ΜΗΤΡΟΥ ΠΗΝΕΛΟΠΗ-ΜΑΡΙΝΑ</t>
  </si>
  <si>
    <t>ΑΒ924211</t>
  </si>
  <si>
    <t>ΜΗΤΡΟΥ ΣΤΑΜΑΤΙΟΣ</t>
  </si>
  <si>
    <t>ΑΖ023515</t>
  </si>
  <si>
    <t>ΜΗΤΡΟΥΔΗ ΦΩΤΕΙΝΗ</t>
  </si>
  <si>
    <t>ΑΜ399538</t>
  </si>
  <si>
    <t>ΜΗΤΣΕΑΣ ΙΩΑΝΝΗΣ</t>
  </si>
  <si>
    <t>ΑΕ742585</t>
  </si>
  <si>
    <t>ΜΗΤΣΙΟΣ ΠΕΡΙΚΛΗΣ</t>
  </si>
  <si>
    <t>Μ790002</t>
  </si>
  <si>
    <t>ΜΗΤΣΙΟΥ ΓΕΩΡΓΙΑ</t>
  </si>
  <si>
    <t>ΑΝ106584</t>
  </si>
  <si>
    <t>ΜΗΤΣΟΓΙΑΝΝΗ ΑΙΚΑΤΕΡΙΝΗ</t>
  </si>
  <si>
    <t>Ρ297272</t>
  </si>
  <si>
    <t>ΜΗΤΣΟΠΟΥΛΟΣ ΙΩΑΝΝΗΣ</t>
  </si>
  <si>
    <t>ΑΙ478968</t>
  </si>
  <si>
    <t>ΜΗΤΣΟΠΟΥΛΟΣ ΝΙΚΟΛΑΟΣ</t>
  </si>
  <si>
    <t>ΑΚ984748</t>
  </si>
  <si>
    <t>ΜΗΤΣΩΝΗ ΣΠΥΡΟΣ</t>
  </si>
  <si>
    <t>AH118997</t>
  </si>
  <si>
    <t>ΜΙΓΚΟΣ ΣΤΕΦΑΝΟΣ</t>
  </si>
  <si>
    <t>ΑΙ292778</t>
  </si>
  <si>
    <t>ΜΙΓΚΟΥ ΙΦΙΓΕΝΕΙΑ</t>
  </si>
  <si>
    <t>ΑΚ404912</t>
  </si>
  <si>
    <t>ΜΙΚΕΛΑΤΟΥ ΚΩΝΣΤΑΝΤΙΝΑ</t>
  </si>
  <si>
    <t>Χ295036</t>
  </si>
  <si>
    <t>ΜΙΚΡΟΥΛΗΣ ΦΙΛΙΠΠΟΣ</t>
  </si>
  <si>
    <t>ΑΒ814886</t>
  </si>
  <si>
    <t>ΜΙΛΙΟΣ ΒΑΣΙΛΕΙΟΣ</t>
  </si>
  <si>
    <t>ΑΗ744426</t>
  </si>
  <si>
    <t>ΜΙΝΤΖΑΡΙΔΗΣ ΑΘΑΝΑΣΙΟΣ</t>
  </si>
  <si>
    <t>ΑΗ815533</t>
  </si>
  <si>
    <t>ΜΙΣΑΗΛΙΔΗΣ ΔΗΜΗΤΡΙΟΣ</t>
  </si>
  <si>
    <t>Β02045</t>
  </si>
  <si>
    <t>ΜΙΣΑΗΛΙΔΟΥ ΓΕΩΡΓΙΑ</t>
  </si>
  <si>
    <t>ΑΜ389089</t>
  </si>
  <si>
    <t>ΜΙΣΕΡΛΗ ΜΑΡΙΑ</t>
  </si>
  <si>
    <t>ΑΒ855671</t>
  </si>
  <si>
    <t>ΜΙΣΙΡΛΑΚΗΣ ΔΗΜΗΤΡΗΣ</t>
  </si>
  <si>
    <t>ΑΜ464950</t>
  </si>
  <si>
    <t>ΜΙΣΙΡΛΗΣ ΔΗΜΗΤΡΙΟΣ</t>
  </si>
  <si>
    <t>ΑΚ441819</t>
  </si>
  <si>
    <t>ΜΙΣΙΡΛΗΣ ΚΩΝΣΤΑΝΤΙΝΟΣ</t>
  </si>
  <si>
    <t>Π478229</t>
  </si>
  <si>
    <t>ΜΙΣΚΟΣ ΕΥΑΓΓΕΛΟΣ</t>
  </si>
  <si>
    <t>ΑΖ327659</t>
  </si>
  <si>
    <t>ΜΙΤΖΕΛΟΥ ΚΥΡΙΑΚΗ</t>
  </si>
  <si>
    <t>Ρ410997</t>
  </si>
  <si>
    <t>ΜΙΤΙΚΑΚΗΣ ΕΛΕΥΘΕΡΙΟΣ</t>
  </si>
  <si>
    <t>ΑΗ855131</t>
  </si>
  <si>
    <t>ΜΙΤΣΟΥΛΗΣ ΑΝΑΣΤΑΣΙΟΣ</t>
  </si>
  <si>
    <t>ΑΒ822150</t>
  </si>
  <si>
    <t>ΜΙΧΑ ΣΥΓΚΛΗΤΙΚΗ</t>
  </si>
  <si>
    <t>ΑΑ 016897</t>
  </si>
  <si>
    <t>ΜΙΧΑΗΛ ΙΣΙΔΩΡΑ</t>
  </si>
  <si>
    <t>ΑΖ527184</t>
  </si>
  <si>
    <t>ΜΙΧΑΗΛ ΙΩΑΝΝΑ</t>
  </si>
  <si>
    <t>ΑΚ776914</t>
  </si>
  <si>
    <t xml:space="preserve">ΜΙΧΑΗΛ ΜΑΝΙΑΔΑΚΗΣ </t>
  </si>
  <si>
    <t>Χ417670</t>
  </si>
  <si>
    <t>ΜΙΧΑΗΛ ΣΟΦΙΑ</t>
  </si>
  <si>
    <t>Χ249290</t>
  </si>
  <si>
    <t>ΜΙΧΑΗΛΙΔΗΣ ΑΝΔΡΕΑΣ</t>
  </si>
  <si>
    <t>Ρ174275</t>
  </si>
  <si>
    <t>ΜΙΧΑΗΛΙΔΗΣ ΓΕΩΡΓΙΟΣ</t>
  </si>
  <si>
    <t>ΑΖ150749</t>
  </si>
  <si>
    <t>Χ948197</t>
  </si>
  <si>
    <t>ΜΙΧΑΗΛΙΔΗΣ ΙΟΡΔΑΝΗΣ</t>
  </si>
  <si>
    <t>ΑΙ742892</t>
  </si>
  <si>
    <t>ΜΙΧΑΗΛΙΔΟΥ ΕΛΕΝΗ</t>
  </si>
  <si>
    <t>ΑΒ850393</t>
  </si>
  <si>
    <t>ΑΒ377850</t>
  </si>
  <si>
    <t>ΜΙΧΑΗΛΙΔΟΥ ΕΥΔΟΞΙΑ</t>
  </si>
  <si>
    <t>ΑΒ433342</t>
  </si>
  <si>
    <t xml:space="preserve">ΜΙΧΑΗΛΙΔΟΥ ΜΑΡΘΑ </t>
  </si>
  <si>
    <t>ΑΕ632475</t>
  </si>
  <si>
    <t>ΜΙΧΑΗΛΙΔΟΥ ΝΕΚΤΑΡΙΑ</t>
  </si>
  <si>
    <t>Χ439370</t>
  </si>
  <si>
    <t>ΜΙΧΑΗΛΙΔΟΥ ΧΡΥΣΟΥΛΑ</t>
  </si>
  <si>
    <t>ΑΜ664911</t>
  </si>
  <si>
    <t>ΜΙΧΑΗΛΟΥ ΓΕΩΡΓΙΟΣ</t>
  </si>
  <si>
    <t>ΑΜ941431</t>
  </si>
  <si>
    <t>ΜΙΧΑΙΛΙΔΟΥ ΠΑΡΘΕΝΑ</t>
  </si>
  <si>
    <t>ΣΥΑ</t>
  </si>
  <si>
    <t>Χ223370</t>
  </si>
  <si>
    <t>ΜΙΧΑΙΛΙΔΟΥ ΧΡΥΣΟΥΛΑ</t>
  </si>
  <si>
    <t>ΣΑΡ</t>
  </si>
  <si>
    <t>ΑΖ359285</t>
  </si>
  <si>
    <t>ΜΙΧΑΛΑ ΧΡΙΣΤΙΝΑ</t>
  </si>
  <si>
    <t>Ρ144189</t>
  </si>
  <si>
    <t>ΜΙΧΑΛΑΚΑΚΟΥ ΚΥΡΙΑΚΗ</t>
  </si>
  <si>
    <t>ΑΙ044892</t>
  </si>
  <si>
    <t>ΜΙΧΑΛΑΚΗ ΑΙΚΑΤΕΡΙΝΗ</t>
  </si>
  <si>
    <t>ΑΙ442546</t>
  </si>
  <si>
    <t>ΜΙΧΑΛΑΚΗΣ ΚΩΝΣΤΑΝΤΙΝΟΣ</t>
  </si>
  <si>
    <t>ΑΒ487169</t>
  </si>
  <si>
    <t>ΜΙΧΑΛΑΚΟΠΟΥΛΟΥ ΑΓΓΕΛΙΚΗ</t>
  </si>
  <si>
    <t>Ρ072437</t>
  </si>
  <si>
    <t>ΜΙΧΑΛΑΣ ΑΛΕΞΑΝΔΡΟΣ</t>
  </si>
  <si>
    <t>ΑΝ304287</t>
  </si>
  <si>
    <t>ΜΙΧΑΛΕΑΣ ΒΑΣΙΛΕΙΟΣ</t>
  </si>
  <si>
    <t>Χ171935</t>
  </si>
  <si>
    <t>ΜΙΧΑΛΟΓΛΟΥ ΓΕΩΡΓΙΟΣ</t>
  </si>
  <si>
    <t>ΑΖ187112</t>
  </si>
  <si>
    <t>ΜΙΧΑΛΟΠΟΥΛΟΣ ΓΕΩΡΓΙΟΣ</t>
  </si>
  <si>
    <t>Ρ404097</t>
  </si>
  <si>
    <t xml:space="preserve">ΜΙΧΑΛΟΠΟΥΛΟΣ ΔΗΜΗΤΡΙΟΣ </t>
  </si>
  <si>
    <t>Μ587135</t>
  </si>
  <si>
    <t>ΜΙΧΑΛΟΠΟΥΛΟΣ ΜΑΡΙΟΣ - ΠΑΝΤΕΛΕΗΜΩΝ</t>
  </si>
  <si>
    <t>ΑΚ641566</t>
  </si>
  <si>
    <t>ΜΙΧΑΛΟΠΟΥΛΟΥ ΒΑΡΒΑΡΑ</t>
  </si>
  <si>
    <t>Φ224039</t>
  </si>
  <si>
    <t>ΜΙΧΑΛΟΠΟΥΛΟΥ ΓΕΩΡΓΙΑ</t>
  </si>
  <si>
    <t>Π137352</t>
  </si>
  <si>
    <t>ΜΙΧΕΛΑΚΗ ΜΑΡΙΑ</t>
  </si>
  <si>
    <t>Τ072477</t>
  </si>
  <si>
    <t>ΜΙΧΕΛΙΝΑΚΗ ΜΑΡΙΑ</t>
  </si>
  <si>
    <t>Ξ314711</t>
  </si>
  <si>
    <t>ΜΙΧΟΣ ΜΙΧΑΗΛ</t>
  </si>
  <si>
    <t>ΑΙ192023</t>
  </si>
  <si>
    <t>Μίχου Αργυρώ</t>
  </si>
  <si>
    <t>Χ731276</t>
  </si>
  <si>
    <t>ΜΟΓΚΕΛΙΔΟΥ ΙΡΜΑ</t>
  </si>
  <si>
    <t>ΑΗ345350</t>
  </si>
  <si>
    <t>ΜΟΔΡΟΥΒΑΝΟΥ ΜΕΛΠΟΜΕΝΗ</t>
  </si>
  <si>
    <t>ΑΝ355515</t>
  </si>
  <si>
    <t>ΜΟΙΡΑΣ ΕΥΑΓΓΕΛΟΣ</t>
  </si>
  <si>
    <t>ΑΗ629305</t>
  </si>
  <si>
    <t>ΜΟΙΡΟΤΣΟΣ ΝΙΚΟΛΑΟΣ</t>
  </si>
  <si>
    <t>Σ529575</t>
  </si>
  <si>
    <t>ΜΟΚΙΚΑ ΜΑΡΙΑ</t>
  </si>
  <si>
    <t>Χ987440</t>
  </si>
  <si>
    <t>ΜΟΛΒΑΛΗΣ ΣΤΥΛΙΑΝΟΣ</t>
  </si>
  <si>
    <t>ΑΑ047687</t>
  </si>
  <si>
    <t>ΜΟΛΛΑ ΜΕΜΕΤ</t>
  </si>
  <si>
    <t>ΙΣΜ</t>
  </si>
  <si>
    <t>ΑΚ146272</t>
  </si>
  <si>
    <t>ΜΟΛΩΝΗ ΧΑΡΙΚΛΕΙΑ</t>
  </si>
  <si>
    <t>ΑΗ244858</t>
  </si>
  <si>
    <t>ΜΟΛΩΝΗΣ ΛΑΜΠΡΟΣ</t>
  </si>
  <si>
    <t>Χ867430</t>
  </si>
  <si>
    <t>ΜΟΝΟΓΥΙΟΥ ΑΝΑΣΤΑΣΙΑ</t>
  </si>
  <si>
    <t>ΑΙ420138</t>
  </si>
  <si>
    <t>ΜΟΡΦΗΣ ΚΩΝΣΤΑΝΤΙΝΟΣ</t>
  </si>
  <si>
    <t>ΑΒ016644</t>
  </si>
  <si>
    <t>ΜΟΡΦΙΑΔΗΣ ΕΜΜΑΝΟΥΗΛ</t>
  </si>
  <si>
    <t>ΑΙΜ</t>
  </si>
  <si>
    <t>ΑΜ040348</t>
  </si>
  <si>
    <t>ΜΟΣΙΑΛΟΥ ΠΑΝΑΓΙΩΤΑ</t>
  </si>
  <si>
    <t>ΑΕ664445</t>
  </si>
  <si>
    <t>ΜΟΣΚΟΦΙΔΟΥ ΠΑΝΑΓΙΩΤΑ</t>
  </si>
  <si>
    <t>Χ870964</t>
  </si>
  <si>
    <t>ΜΟΣΤΡΑΤΟΥ ΠΑΡΑΣΚΕΥΗ</t>
  </si>
  <si>
    <t>ΑΕ941952</t>
  </si>
  <si>
    <t>ΜΟΣΧΟΒΑ ΕΛΕΝΗ</t>
  </si>
  <si>
    <t>Σ480396</t>
  </si>
  <si>
    <t>ΜΟΣΧΟΣ ΑΛΕΞΑΝΔΡΟΣ</t>
  </si>
  <si>
    <t>ΑΙ609031</t>
  </si>
  <si>
    <t>ΑΕ714578</t>
  </si>
  <si>
    <t>ΜΟΣΧΟΣ ΝΙΚΟΛΑΟΣ</t>
  </si>
  <si>
    <t>ΑΕ748430</t>
  </si>
  <si>
    <t xml:space="preserve">Μοσχος Φώτης </t>
  </si>
  <si>
    <t>ΑΕ977815</t>
  </si>
  <si>
    <t>ΜΟΣΧΟΥ ΕΛΕΝΗ</t>
  </si>
  <si>
    <t>ΑΒ583171</t>
  </si>
  <si>
    <t>ΜΟΣΧΟΥ ΛΑΜΠΡΙΝΗ</t>
  </si>
  <si>
    <t>Χ700371</t>
  </si>
  <si>
    <t>ΜΟΥΕΜΙΝ ΟΓΛΟΥ ΣΑΛΙΕ</t>
  </si>
  <si>
    <t>ΑΒ728546</t>
  </si>
  <si>
    <t>ΜΟΥΖΑΚΗΣ ΔΙΟΝΥΣΙΟΣ</t>
  </si>
  <si>
    <t>ΑΜ361054</t>
  </si>
  <si>
    <t>ΜΟΥΖΑΚΙΤΗ ΙΩΑΝΝΑ</t>
  </si>
  <si>
    <t>ΑΜ303654</t>
  </si>
  <si>
    <t>ΜΟΥΖΑΚΙΤΗΣ ΑΝΔΡΕΑΣ</t>
  </si>
  <si>
    <t>Ρ861805</t>
  </si>
  <si>
    <t>ΜΟΥΖΑΚΙΤΗΣ ΝΙΚΟΛΑΟΣ</t>
  </si>
  <si>
    <t>ΑΕ778742</t>
  </si>
  <si>
    <t>ΜΟΥΖΗ ΙΩΑΝΝΑ</t>
  </si>
  <si>
    <t>ΑΒ217931</t>
  </si>
  <si>
    <t>ΜΟΥΖΙΔΣΗΣ ΤΙΜΟΘΕΟΣ</t>
  </si>
  <si>
    <t>ΑΜ912336</t>
  </si>
  <si>
    <t>ΜΟΥΚΑ ΦΩΤΕΙΝΗ</t>
  </si>
  <si>
    <t>ΑΚ742294</t>
  </si>
  <si>
    <t>ΜΟΥΚΑΝΗ ΔΗΜΗΤΡΑ-ΕΥΤΗΧΙΑ</t>
  </si>
  <si>
    <t>ΑΜ047378</t>
  </si>
  <si>
    <t>ΜΟΥΚΑΝΗΣ ΝΙΚΟΛΑΟΣ</t>
  </si>
  <si>
    <t>Τ018611</t>
  </si>
  <si>
    <t>ΜΟΥΛΑΣ ΝΙΚΟΛΑΟΣ</t>
  </si>
  <si>
    <t>ΑΝ259505</t>
  </si>
  <si>
    <t>ΜΟΥΜΙΝ ΡΕΤΖΕΠ</t>
  </si>
  <si>
    <t>Φ492049</t>
  </si>
  <si>
    <t>ΜΟΥΜΙΝΟΓΛΟΥ ΟΖΑΗ</t>
  </si>
  <si>
    <t>ΑΙ642608</t>
  </si>
  <si>
    <t>ΜΟΥΜΟΥΡΗΣ ΒΑΣΙΛΕΙΟΣ</t>
  </si>
  <si>
    <t>ΑΒ095645</t>
  </si>
  <si>
    <t>ΜΟΥΡΑΤΙΔΗ ΔΕΣΠΟΙΝΑ</t>
  </si>
  <si>
    <t>ΑΗ057468</t>
  </si>
  <si>
    <t>ΜΟΥΡΑΤΙΔΗΣ ΑΛΕΞΑΝΔΡΟΣ</t>
  </si>
  <si>
    <t>ΑΜ659421</t>
  </si>
  <si>
    <t>ΜΟΥΡΑΤΙΔΗΣ ΑΝΕΣΤΗΣ</t>
  </si>
  <si>
    <t>ΑΚ303588</t>
  </si>
  <si>
    <t>ΜΟΥΡΑΤΙΔΗΣ ΓΙΩΡΓΟΣ</t>
  </si>
  <si>
    <t>ΑΖ174767</t>
  </si>
  <si>
    <t>ΜΟΥΡΑΤΙΔΗΣ ΔΗΜΗΤΡΙΟΣ</t>
  </si>
  <si>
    <t>ΑΚ823862</t>
  </si>
  <si>
    <t>ΜΟΥΡΑΤΙΔΟΥ ΟΥΡΑΝΙΑ</t>
  </si>
  <si>
    <t>ΑΕ382198</t>
  </si>
  <si>
    <t>ΜΟΥΡΑΤΙΔΟΥ ΠΑΝΑΗΛΑ</t>
  </si>
  <si>
    <t>ΑΑ080562</t>
  </si>
  <si>
    <t>ΜΟΥΡΑΤΙΔΟΥ ΣΟΦΙΑ</t>
  </si>
  <si>
    <t>ΑΖ680406</t>
  </si>
  <si>
    <t>ΜΟΥΡΑΤΟΓΛΟΥ ΝΙΚΟΛΑΟΣ</t>
  </si>
  <si>
    <t>ΑΕ095953</t>
  </si>
  <si>
    <t>ΜΟΥΡΕΛΑΤΟΣ ΓΕΩΡΓΙΟΣ</t>
  </si>
  <si>
    <t>ΑΖ215575</t>
  </si>
  <si>
    <t>ΥΕ ΠΡΟΣΩΠΙΚΟ ΚΑΘΑΡΙΟΤΗΤΑΣ ΕΞΩΤΕΡΙΚΩΝ ΧΩΡΩΝ</t>
  </si>
  <si>
    <t>ΜΟΥΡΚΟΒΙΤΗ ΑΠΟΣΤΟΛΙΑ</t>
  </si>
  <si>
    <t>Ξ606047</t>
  </si>
  <si>
    <t>ΜΟΥΡΟΥΖΙΔΗΣ ΑΝΔΡΕΑΣ</t>
  </si>
  <si>
    <t>ΑΕ572555</t>
  </si>
  <si>
    <t>ΜΟΥΡΤΖΟΥΚΟΥ ΖΩΗ</t>
  </si>
  <si>
    <t>Π269000</t>
  </si>
  <si>
    <t>ΜΟΥΡΤΖΟΥΚΟΥ ΣΩΤΗΡΙΑ</t>
  </si>
  <si>
    <t>Ρ543636</t>
  </si>
  <si>
    <t>ΜΟΥΣΗΣ ΜΙΧΑΗΛ-ΓΕΩΡΓΙΟΣ</t>
  </si>
  <si>
    <t>Χ822881</t>
  </si>
  <si>
    <t>ΜΟΥΣΙΟΣ ΒΑΣΙΛΕΙΟΣ</t>
  </si>
  <si>
    <t>Κ761482</t>
  </si>
  <si>
    <t>ΜΟΥΣΤΑΚΑ ΓΕΩΡΓΙΑ</t>
  </si>
  <si>
    <t>ΑΙ379486</t>
  </si>
  <si>
    <t>ΜΟΥΣΤΟΥ ΜΑΡΙΑ ΠΟΛΥΞΕΝΗ</t>
  </si>
  <si>
    <t>Τ528260</t>
  </si>
  <si>
    <t>ΜΟΥΣΤΟΥ  ΙΩΑΝΝΑ</t>
  </si>
  <si>
    <t>ΑΙ813189</t>
  </si>
  <si>
    <t>ΜΟΥΣΤΡΟΥΦΑ ΑΓΛΑΙΑ</t>
  </si>
  <si>
    <t>Χ525636</t>
  </si>
  <si>
    <t>ΜΟΥΤΖΟΓΛΟΥ ΕΜΟΡΦΙΑ</t>
  </si>
  <si>
    <t>ΑΗ655678</t>
  </si>
  <si>
    <t>ΜΟΥΤΣΟΥ ΕΥΣΤΡΑΤΙΟΣ</t>
  </si>
  <si>
    <t>ΑΚ519530</t>
  </si>
  <si>
    <t>ΜΟΥΤΣΩΚΟΥ ΠΑΝΑΓΙΩΤΑ</t>
  </si>
  <si>
    <t>Μ894004</t>
  </si>
  <si>
    <t>ΜΟΥΧΑ ΝΙΚΗ</t>
  </si>
  <si>
    <t>Σ784737</t>
  </si>
  <si>
    <t>ΜΟΥΧΑΚΗ ΓΑΛΑΤΙΑ</t>
  </si>
  <si>
    <t>Χ476671</t>
  </si>
  <si>
    <t>ΜΠΑΓΑ ΒΑΣΙΛΙΚΗ</t>
  </si>
  <si>
    <t>Σ598780</t>
  </si>
  <si>
    <t>ΜΠΑΓΔΑΤΟΓΛΟΥ ΠΑΝΑΓΙΩΤΑ</t>
  </si>
  <si>
    <t>ΑΙ690850</t>
  </si>
  <si>
    <t>ΜΠΑΓΙΑΤΗΣ ΝΙΚΟΛΑΟΣ</t>
  </si>
  <si>
    <t>Ν539875</t>
  </si>
  <si>
    <t>ΜΠΑΓΚΛΑΡΙΔΟΥ ΝΕΛΗ</t>
  </si>
  <si>
    <t>ΑΕ838376</t>
  </si>
  <si>
    <t xml:space="preserve">ΜΠΑΖΙΝΑΣ ΧΡΗΣΤΟΣ </t>
  </si>
  <si>
    <t>ΑΖ434104</t>
  </si>
  <si>
    <t>ΜΠΑΖΙΟΥ ΒΑΣΙΛΙΚΗ</t>
  </si>
  <si>
    <t>Π229801</t>
  </si>
  <si>
    <t>ΜΠΑΖΙΩΤΗ ΕΛΕΝΗ</t>
  </si>
  <si>
    <t>ΑΜ854743</t>
  </si>
  <si>
    <t>ΜΠΑΙΖΟΣ ΠΑΝΑΓΙΩΤΗΣ</t>
  </si>
  <si>
    <t>ΑΜ 635235</t>
  </si>
  <si>
    <t>ΜΠΑΙΛΑ ΜΑΡΙΑ</t>
  </si>
  <si>
    <t>Ν538636</t>
  </si>
  <si>
    <t>ΜΠΑΙΛΗ ΚΑΤΕΡΙΝΑ</t>
  </si>
  <si>
    <t>ΑΜ196382</t>
  </si>
  <si>
    <t>ΜΠΑΙΛΗΣ ΧΡΥΣΟΒΑΛΑΝΤΗΣ</t>
  </si>
  <si>
    <t>Τ179219</t>
  </si>
  <si>
    <t>ΜΠΑΙΛΝΤΗ ΛΟΥΚΙΑ</t>
  </si>
  <si>
    <t>Ρ662194</t>
  </si>
  <si>
    <t>ΜΠΑΙΡΑΜ ΝΕΤΖΑΤ</t>
  </si>
  <si>
    <t>ΝΕΤ</t>
  </si>
  <si>
    <t>ΑΗ031227</t>
  </si>
  <si>
    <t>ΜΠΑΪΡΑΜΙΔΟΥ ΑΝΑΣΤΑΣΙΑ</t>
  </si>
  <si>
    <t>Σ015548</t>
  </si>
  <si>
    <t>ΜΠΑΚΑΛΟΠΟΥΛΟΣ ΗΛΙΑΣ</t>
  </si>
  <si>
    <t>ΑΑ044544</t>
  </si>
  <si>
    <t>ΜΠΑΚΑΝΟΣ ΣΤΑΥΡΟΣ</t>
  </si>
  <si>
    <t>ΑΜ419975</t>
  </si>
  <si>
    <t>ΜΠΑΚΑΡΟΖΟΣ ΝΙΚΟΛΑΟΣ</t>
  </si>
  <si>
    <t>ΑΒ580780</t>
  </si>
  <si>
    <t>ΜΠΑΚΑΣ ΧΡΗΣΤΟΣ</t>
  </si>
  <si>
    <t>Χ733869</t>
  </si>
  <si>
    <t>Μπακας Γερασιμος</t>
  </si>
  <si>
    <t>ΑΒ077976</t>
  </si>
  <si>
    <t>ΜΠΑΚΑΤΣΗΣ ΑΧΙΛΛΕΥΣ</t>
  </si>
  <si>
    <t>ΑΗ282856</t>
  </si>
  <si>
    <t>ΜΠΑΚΙΤΑ ΙΩΑΝΝΑ</t>
  </si>
  <si>
    <t>ΑΖ431665</t>
  </si>
  <si>
    <t>ΜΠΑΚΛΑΚΟΣ ΣΠΥΡΙΔΩΝ</t>
  </si>
  <si>
    <t>Χ481117</t>
  </si>
  <si>
    <t>ΜΠΑΚΟΓΙΑΝΝΗ ΑΘΗΝΑ</t>
  </si>
  <si>
    <t>ΑΚ833288</t>
  </si>
  <si>
    <t>ΜΠΑΚΟΓΙΑΝΝΗ ΓΛΥΚΕΡΙΑ</t>
  </si>
  <si>
    <t>ΑΕ580528</t>
  </si>
  <si>
    <t>ΜΠΑΚΟΓΙΑΝΝΗ ΙΟΥΛΙΑ</t>
  </si>
  <si>
    <t>Σ784740</t>
  </si>
  <si>
    <t>ΜΠΑΚΟΓΙΑΝΝΗ ΣΤΑΥΡΟΥΛΑ</t>
  </si>
  <si>
    <t>ΑΕ451205</t>
  </si>
  <si>
    <t>ΜΠΑΚΟΛΑΣ ΗΛΙΑΣ</t>
  </si>
  <si>
    <t>ΑΖ999575</t>
  </si>
  <si>
    <t>ΜΠΑΚΟΥΡΑ ΧΑΡΙΚΛΕΙΑ</t>
  </si>
  <si>
    <t>ΑΕ662381</t>
  </si>
  <si>
    <t>ΜΠΑΚΣΕΒΑΝΗΣ ΧΡΗΣΤΟΣ</t>
  </si>
  <si>
    <t>Σ085894</t>
  </si>
  <si>
    <t>ΜΠΑΚΩΣΗΣ ΣΤΑΥΡΟΣ</t>
  </si>
  <si>
    <t>ΑΗ980944</t>
  </si>
  <si>
    <t>ΜΠΑΛΑΜΠΑΝΗ ΑΘΑΝΑΣΙΑ</t>
  </si>
  <si>
    <t>Τ466355</t>
  </si>
  <si>
    <t>ΜΠΑΛΑΜΠΑΝΗ ΖΩΗ</t>
  </si>
  <si>
    <t>Χ429297</t>
  </si>
  <si>
    <t>ΜΠΑΛΑΜΠΑΝΗΣ ΙΩΑΝΝΗΣ</t>
  </si>
  <si>
    <t>Χ285858</t>
  </si>
  <si>
    <t>ΜΠΑΛΑΣΗΣ ΧΡΗΣΤΟΣ</t>
  </si>
  <si>
    <t>Π876750</t>
  </si>
  <si>
    <t>ΜΠΑΛΑΣΚΑ ΕΛΕΝΗ</t>
  </si>
  <si>
    <t>ΑΑ242059</t>
  </si>
  <si>
    <t>ΜΠΑΛΑΦΑΣ ΘΕΟΦΑΝΗΣ</t>
  </si>
  <si>
    <t>ΑΗ748354</t>
  </si>
  <si>
    <t>ΜΠΑΛΕΣΝΤΡΑΒΟΣ ΧΡΗΣΤΟΣ</t>
  </si>
  <si>
    <t>ΑΝ400971</t>
  </si>
  <si>
    <t>ΜΠΑΛΗΣ ΑΡΓΥΡΙΟΣ</t>
  </si>
  <si>
    <t>Μ395244</t>
  </si>
  <si>
    <t>ΜΠΑΛΙΚΟΥ ΑΙΚΑΤΕΡΙΝΗ</t>
  </si>
  <si>
    <t>ΑΗ028464</t>
  </si>
  <si>
    <t>ΜΠΑΛΙΩΤΗ ΕΛΕΥΘΕΡΙΑ</t>
  </si>
  <si>
    <t>ΑΚ153747</t>
  </si>
  <si>
    <t>ΜΠΑΛΟΓΙΑΝΝΗΣ ΜΑΤΘΑΙΟΣ</t>
  </si>
  <si>
    <t>ΑΒ210267</t>
  </si>
  <si>
    <t>ΜΠΑΛΟΚΑ ΕΥΦΡΟΣΥΝΗ</t>
  </si>
  <si>
    <t>Σ127402</t>
  </si>
  <si>
    <t>ΜΠΑΛΟΥΚΤΣΗΣ ΕΥΑΓΓΕΛΟΣ</t>
  </si>
  <si>
    <t>ΑΖ924157</t>
  </si>
  <si>
    <t>ΜΠΑΛΤΖΗΣ ΚΩΝΣΤΑΝΤΙΝΟΣ</t>
  </si>
  <si>
    <t>ΑΒ010053</t>
  </si>
  <si>
    <t>ΜΠΑΛΤΙΡΑΝΗ ΜΑΡΙΑ</t>
  </si>
  <si>
    <t>ΑΗ792447</t>
  </si>
  <si>
    <t>ΜΠΑΛΤΟΥΜΗΣ ΛΕΥΤΕΡΗΣ</t>
  </si>
  <si>
    <t>Σ936942</t>
  </si>
  <si>
    <t>ΜΠΑΜΠΑ ΧΡΙΣΤΙΝΑ</t>
  </si>
  <si>
    <t>ΑΝ477885</t>
  </si>
  <si>
    <t>ΜΠΑΜΠΑΛΗ ΕΣΚΙΑΝ</t>
  </si>
  <si>
    <t>ΝΤΙ</t>
  </si>
  <si>
    <t>ΑΒ254872</t>
  </si>
  <si>
    <t>ΜΠΑΜΠΑΛΙΟΥΤΑ ΑΙΚΑΤΕΡΙΝΗ</t>
  </si>
  <si>
    <t>Π938330</t>
  </si>
  <si>
    <t>ΜΠΑΜΠΑΡΑΤΣΑΣ ΔΑΜΙΑΝΟΣ</t>
  </si>
  <si>
    <t>Χ250784</t>
  </si>
  <si>
    <t>ΜΠΑΜΠΑΡΓΙΟΥ ΧΑΜΑΙΔΗ</t>
  </si>
  <si>
    <t>ΑΗ835988</t>
  </si>
  <si>
    <t>ΜΠΑΜΠΑΤΖΙΚΟΣ ΒΕΝΕΤΗΣ</t>
  </si>
  <si>
    <t>Ρ850476</t>
  </si>
  <si>
    <t>ΜΠΑΜΠΑΤΣΙΚΟΥ  ΜΑΡΙΑ</t>
  </si>
  <si>
    <t>ΑΕ035564</t>
  </si>
  <si>
    <t>ΜΠΑΜΠΙΛΗ ΕΥΦΡΟΣΥΝΗ</t>
  </si>
  <si>
    <t>ΑΒ751238</t>
  </si>
  <si>
    <t>ΜΠΑΝΤΟΥΝΑ ΒΑΣΙΛΙΚΗ</t>
  </si>
  <si>
    <t>ΑΙ219556</t>
  </si>
  <si>
    <t>ΜΠΑΝΤΟΥΝΑ ΝΙΚΟΛΕΤΑ</t>
  </si>
  <si>
    <t>ΑΙ483243</t>
  </si>
  <si>
    <t>ΜΠΑΝΤΟΥΝΑΣ ΑΘΑΝΑΣΙΟΣ</t>
  </si>
  <si>
    <t>Ξ447739</t>
  </si>
  <si>
    <t>ΜΠΑΝΤΟΥΝΟ ΕΛΕΝΗ</t>
  </si>
  <si>
    <t>ΑΒ588363</t>
  </si>
  <si>
    <t>ΜΠΑΞΕΒΑΝΗ ΔΙΟΝΥΣΙΑ</t>
  </si>
  <si>
    <t>Χ505836</t>
  </si>
  <si>
    <t>ΜΠΑΠΡΙΚΙΔΗΣ ΚΩΝΣΤΑΝΤΙΝΟΣ</t>
  </si>
  <si>
    <t>Χ237654</t>
  </si>
  <si>
    <t>ΜΠΑΡΑ ΑΝΤΩΝΙΑ</t>
  </si>
  <si>
    <t>ΑΕ790310</t>
  </si>
  <si>
    <t>ΜΠΑΡΑΚΟΥ ΣΤΑΥΡΟΥΛΑ</t>
  </si>
  <si>
    <t>Φ016491</t>
  </si>
  <si>
    <t>ΜΠΑΡΙΑΝΟΣ ΚΩΝΣΤΑΝΤΙΝΟΣ</t>
  </si>
  <si>
    <t>ΑΖ089745</t>
  </si>
  <si>
    <t>ΜΠΑΡΙΑΝΟΣ ΣΤΑΥΡΟΣ</t>
  </si>
  <si>
    <t>ΑΑ096634</t>
  </si>
  <si>
    <t>ΜΠΑΡΙΑΝΟΥ ΧΡΙΣΤΙΝΑ</t>
  </si>
  <si>
    <t>ΑΙ602952</t>
  </si>
  <si>
    <t>ΜΠΑΡΙΚΟΥ ΑΘΗΝΑ</t>
  </si>
  <si>
    <t>Ν586868</t>
  </si>
  <si>
    <t>ΜΠΑΡΚΟΥΛΑ ΓΕΩΡΓΙΑ</t>
  </si>
  <si>
    <t>Σ845723</t>
  </si>
  <si>
    <t xml:space="preserve">ΜΠΑΡΛΑ  ΕΙΡΗΝΗ </t>
  </si>
  <si>
    <t>14/</t>
  </si>
  <si>
    <t>Ρ0241050</t>
  </si>
  <si>
    <t>ΜΠΑΡΛΑΚΑ ΟΛΓΑ</t>
  </si>
  <si>
    <t>ΑΙ717910</t>
  </si>
  <si>
    <t>ΜΠΑΡΜΠΑΓΕΩΡΓΟΠΟΥΛΟΣ ΠΕΡΙΚΛΗΣ</t>
  </si>
  <si>
    <t>ΑΖ780091</t>
  </si>
  <si>
    <t>ΜΠΑΡΜΠΑΓΙΑΝΝΗ ΑΝΑΣΤΑΣΙΑ</t>
  </si>
  <si>
    <t>Π391547</t>
  </si>
  <si>
    <t>ΜΠΑΡΜΠΑΓΙΑΝΝΗ ΚΩΝΣΤΑΝΤΙΝΑ</t>
  </si>
  <si>
    <t>ΑΒ609799</t>
  </si>
  <si>
    <t>ΜΠΑΡΜΠΑΚΟΥ ΦΙΛΟΜΗΛΑ</t>
  </si>
  <si>
    <t>ΑΕ806237</t>
  </si>
  <si>
    <t>ΜΠΑΡΜΠΑΡΗΣ ΣΜΑΡΑΓΔΟΣ</t>
  </si>
  <si>
    <t>Χ900948</t>
  </si>
  <si>
    <t>ΜΠΑΡΟΥΤΑΣ ΘΟΔΩΡΑΚΗΣ</t>
  </si>
  <si>
    <t>ΑΖ132413</t>
  </si>
  <si>
    <t>ΜΠΑΡΟΥΤΣΑ ΑΝΤΙΓΟΝΗ</t>
  </si>
  <si>
    <t>Ρ692775</t>
  </si>
  <si>
    <t>ΜΠΑΡΤΣΙΩΚΑΣ ΑΛΕΞΑΝΔΡΟΣ</t>
  </si>
  <si>
    <t>ΑΜ200413</t>
  </si>
  <si>
    <t>ΜΠΑΡΤΣΩΚΑΣ ΕΛΕΥΘΕΡΙΟΣ</t>
  </si>
  <si>
    <t>Χ538081</t>
  </si>
  <si>
    <t>ΜΠΑΣΙΑ ΚΩΝΣΤΑΝΤΙΝΑ</t>
  </si>
  <si>
    <t>Χ883562</t>
  </si>
  <si>
    <t>Μπασιά Αικατερίνη</t>
  </si>
  <si>
    <t>Χ453788</t>
  </si>
  <si>
    <t>ΜΠΑΣΙΛΑΡΗ ΙΩΑΝΝΑ</t>
  </si>
  <si>
    <t>ΑΕ718294</t>
  </si>
  <si>
    <t>ΜΠΑΣΙΛΑΡΗΣ ΒΑΣΙΛΕΙΟΣ</t>
  </si>
  <si>
    <t>Τ262883</t>
  </si>
  <si>
    <t>ΜΠΑΣΙΛΑΡΗΣ ΔΑΜΙΑΝΟΣ</t>
  </si>
  <si>
    <t>ΑΕ708522</t>
  </si>
  <si>
    <t>ΜΠΑΣΙΟΥ ΧΡΥΣΑΝΘΗ</t>
  </si>
  <si>
    <t>Φ177638</t>
  </si>
  <si>
    <t>ΜΠΑΣΟΥΛΑΣ ΝΙΚΟΛΑΟΣ</t>
  </si>
  <si>
    <t>Ν581044</t>
  </si>
  <si>
    <t>ΜΠΑΣΣΑ ΑΝΑΣΤΑΣΙΑ</t>
  </si>
  <si>
    <t>ΦΑΧ</t>
  </si>
  <si>
    <t>Χ318848</t>
  </si>
  <si>
    <t>ΜΠΑΣΤΟΥΝΗΣ ΣΠΥΡΙΔΩΝ</t>
  </si>
  <si>
    <t>ΑΒ197331</t>
  </si>
  <si>
    <t>ΜΠΑΤΑΓΙΑΝΝΗΣ ΕΥΑΓΓΕΛΟΣ</t>
  </si>
  <si>
    <t>ΑΕ627200</t>
  </si>
  <si>
    <t>ΜΠΑΤΖΑΚΗΣ ΓΙΩΡΓΟΣ</t>
  </si>
  <si>
    <t>ΒΑΓ</t>
  </si>
  <si>
    <t>ΑΙ692117</t>
  </si>
  <si>
    <t>ΜΠΑΤΖΙΑ ΑΛΕΞΑΝΔΡΑ</t>
  </si>
  <si>
    <t>ΑΗ285399</t>
  </si>
  <si>
    <t>ΜΠΑΤΗ-ΔΕΣΠΟΤΙΔΟΥ ΜΑΡΙΝΑ</t>
  </si>
  <si>
    <t>ΑΜ013660</t>
  </si>
  <si>
    <t>ΜΠΑΤΙΡΙΔΗΣ ΙΦΡΑΤ</t>
  </si>
  <si>
    <t>ΑΜ425587</t>
  </si>
  <si>
    <t>ΜΠΑΤΜΑΝΙΔΗ ΕΛΛΑΔΑ</t>
  </si>
  <si>
    <t>ΑΗ672754</t>
  </si>
  <si>
    <t>ΜΠΑΤΡΑΛΗ ΕΥΤΥΧΙΑ</t>
  </si>
  <si>
    <t>ΑΒ070771</t>
  </si>
  <si>
    <t>ΜΠΑΤΡΗ ΧΡΙΤΣΙΝΑ</t>
  </si>
  <si>
    <t>ΑΖ515973</t>
  </si>
  <si>
    <t>ΜΠΑΤΣΑΡΑ ΑΘΑΝΑΣΙΑ</t>
  </si>
  <si>
    <t>Σ953933</t>
  </si>
  <si>
    <t>ΜΠΑΤΣΑΡΑ ΟΛΓΑ</t>
  </si>
  <si>
    <t>ΑΙ160371</t>
  </si>
  <si>
    <t>ΜΠΑΤΣΟΥΛΗΣ ΧΡΗΣΤΟΣ</t>
  </si>
  <si>
    <t>ΑΙ143263</t>
  </si>
  <si>
    <t>ΜΠΑΦΑΤΑΚΗΣ ΙΩΑΝΝΗΣ</t>
  </si>
  <si>
    <t>ΑΗ919094</t>
  </si>
  <si>
    <t>ΜΠΑΧΟΥΜΑ ΘΕΟΔΩΡΑ</t>
  </si>
  <si>
    <t>ΑΖ229593</t>
  </si>
  <si>
    <t>ΜΠΑΧΤΣΕΒΑΝΗ ΟΛΓΑ</t>
  </si>
  <si>
    <t>ΑΜ048190</t>
  </si>
  <si>
    <t>ΜΠΕΓΚΑ ΑΛΕΞΑΝΔΡΑ</t>
  </si>
  <si>
    <t>Σ456243</t>
  </si>
  <si>
    <t>ΜΠΕΓΚΑΙ ΕΝΤΙΣΟΝ</t>
  </si>
  <si>
    <t>ΑΚ616654</t>
  </si>
  <si>
    <t>ΜΠΕΙΛΑΚΗΣ ΚΥΡΙΑΚΟΣ</t>
  </si>
  <si>
    <t>ΧΟΡ</t>
  </si>
  <si>
    <t>Φ152064</t>
  </si>
  <si>
    <t>ΜΠΕΚΟΣ ΑΘΑΝΑΣΙΟΣ</t>
  </si>
  <si>
    <t>ΑΙ509109</t>
  </si>
  <si>
    <t>ΜΠΕΚΟΣ ΕΥΑΓΓΕΛΟΣ</t>
  </si>
  <si>
    <t>Φ125165</t>
  </si>
  <si>
    <t>ΜΠΕΚΟΣ ΘΕΟΔΩΡΟΣ</t>
  </si>
  <si>
    <t>ΑΝ054662</t>
  </si>
  <si>
    <t>ΜΠΕΚΟΣ ΙΩΑΝΝΗΣ ΣΠΥΡΙΔΩΝ</t>
  </si>
  <si>
    <t>ΑΜ181724</t>
  </si>
  <si>
    <t>ΜΠΕΚΟΣ ΚΩΝΣΤΑΝΤΙΝΟΣ</t>
  </si>
  <si>
    <t>Χ777918</t>
  </si>
  <si>
    <t>ΜΠΕΚΟΣ ΠΑΝΑΓΙΩΤΗΣ</t>
  </si>
  <si>
    <t>ΑΝ061758</t>
  </si>
  <si>
    <t xml:space="preserve">ΜΠΕΚΟΣ  ΑΝΔΡΕΑΣ </t>
  </si>
  <si>
    <t>Τ128548</t>
  </si>
  <si>
    <t>ΜΠΕΚΟΥ ΛΑΜΠΡΙΝΗ ΕΙΡΗΝΗ</t>
  </si>
  <si>
    <t>Χ652328</t>
  </si>
  <si>
    <t>ΜΠΕΚΡΗΣ ΔΗΜΗΤΡΙΟΣ</t>
  </si>
  <si>
    <t>ΑΑ314145</t>
  </si>
  <si>
    <t>ΥΕ ΒΟΗΘΩΝ ΕΡΓΑΤΩΝ</t>
  </si>
  <si>
    <t>ΜΠΕΚΡΙΔΑΚΗ ΑΘΑΝΑΣΙΑ</t>
  </si>
  <si>
    <t>ΑΚ549785</t>
  </si>
  <si>
    <t>ΜΠΕΚΤΑΣ ΕΥΤΥΧΙΟΣ</t>
  </si>
  <si>
    <t>Σ853889</t>
  </si>
  <si>
    <t>ΜΠΕΚΤΑΣ ΘΩΜΑΣ</t>
  </si>
  <si>
    <t>Φ248501</t>
  </si>
  <si>
    <t>ΜΠΕΚΤΑΣ ΠΑΝΑΓΙΩΤΗΣ</t>
  </si>
  <si>
    <t>ΑΕ852120</t>
  </si>
  <si>
    <t>ΜΠΕΚΤΑΣΗΣ ΣΩΤΗΡΙΟΣ</t>
  </si>
  <si>
    <t>ΑΝ375233</t>
  </si>
  <si>
    <t>ΜΠΕΛΑΒΓΕΝΗΣ ΓΕΩΡΓΙΟΣ</t>
  </si>
  <si>
    <t>ΑΗ034846</t>
  </si>
  <si>
    <t>ΜΠΕΛΑΟΥΡΗΣ ΚΩΝΣΤΑΝΤΙΝΟΣ</t>
  </si>
  <si>
    <t>ΑΕ577103</t>
  </si>
  <si>
    <t>ΜΠΕΛΕΓΡΙΝΟΣ ΠΑΝΑΓΙΩΤΗΣ</t>
  </si>
  <si>
    <t>Χ882131</t>
  </si>
  <si>
    <t>ΜΠΕΛΕΝΙΩΤΟΥ ΙΦΙΓΕΝΕΙΑ</t>
  </si>
  <si>
    <t>ΑΒ010669</t>
  </si>
  <si>
    <t>ΜΠΕΛΙΑ ΘΩΜΑΗ</t>
  </si>
  <si>
    <t>ΑΖ833711</t>
  </si>
  <si>
    <t>ΜΠΕΛΙΜΠΑΣΑΚΗΣ ΠΑΝΑΓΙΩΤΗΣ</t>
  </si>
  <si>
    <t>Λ983436</t>
  </si>
  <si>
    <t>ΜΠΕΛΛΑΣ ΧΡΗΣΤΟΣ</t>
  </si>
  <si>
    <t>Χ391591</t>
  </si>
  <si>
    <t>ΜΠΕΛΛΗΣ ΘΩΜΑΣ</t>
  </si>
  <si>
    <t>ΑΜ402862</t>
  </si>
  <si>
    <t>ΜΠΕΛΛΟΣ ΑΝΔΡΕΑΣ</t>
  </si>
  <si>
    <t>ΑΗ257284</t>
  </si>
  <si>
    <t>ΜΠΕΛΛΟΣ ΕΥΑΓΓΕΛΟΣ</t>
  </si>
  <si>
    <t>ΑΑ970175</t>
  </si>
  <si>
    <t>Μπελτα Αργυρω</t>
  </si>
  <si>
    <t>ΑΒ753935</t>
  </si>
  <si>
    <t>ΜΠΕΝΕΚΟΥ ΑΝΑΣΤΑΣΙΑ</t>
  </si>
  <si>
    <t>ΑΗ086113</t>
  </si>
  <si>
    <t>ΜΠΕΝΕΤΣΗ ΔΙΑΜΑΝΤΩ</t>
  </si>
  <si>
    <t>Τ890701</t>
  </si>
  <si>
    <t>ΜΠΕΝΤΕΒΗ ΜΑΡΙΑ</t>
  </si>
  <si>
    <t>ΑΚ056523</t>
  </si>
  <si>
    <t>ΜΠΕΡΙΟΣ ΠΑΝΑΓΙΩΤΗΣ</t>
  </si>
  <si>
    <t>Ξ030744</t>
  </si>
  <si>
    <t>ΜΠΕΡΜΠΑΤΗΣ ΑΠΟΣΤΟΛΟΣ</t>
  </si>
  <si>
    <t>ΑΙ544621</t>
  </si>
  <si>
    <t xml:space="preserve">ΜΠΕΡΝΤΕ  ΠΑΝΑΓΙΩΤΑ </t>
  </si>
  <si>
    <t>ΑΙ296035</t>
  </si>
  <si>
    <t>ΜΠΕΣΙΑΣ ΚΩΝΣΤΑΝΤΙΝΟΣ</t>
  </si>
  <si>
    <t>ΑΚ657047</t>
  </si>
  <si>
    <t>ΜΠΕΣΙΝΗ ΣΤΑΥΡΟΥΛΑ</t>
  </si>
  <si>
    <t>ΤΑΚ</t>
  </si>
  <si>
    <t>ΑΝ073981</t>
  </si>
  <si>
    <t>ΜΠΕΤΙΚΑ ΜΑΡΙΑ</t>
  </si>
  <si>
    <t>Χ135720</t>
  </si>
  <si>
    <t>ΜΠΙΖΙΩΤΑ ΜΑΡΙΑ</t>
  </si>
  <si>
    <t>Χ313844</t>
  </si>
  <si>
    <t>ΔΗΜΟΣ ΔΕΣΚΑΤΗΣ ΓΡΕΒΕΝΩΝ</t>
  </si>
  <si>
    <t>ΜΠΙΚΑ ΜΑΡΙΑ</t>
  </si>
  <si>
    <t>ΑΖ894297</t>
  </si>
  <si>
    <t>ΜΠΙΚΑΚΗΣ ΜΙΧΑΗΛ</t>
  </si>
  <si>
    <t>ΑΙ440934</t>
  </si>
  <si>
    <t>ΜΠΙΚΙΩΤΗ ΠΑΝΑΓΙΩΤΑ</t>
  </si>
  <si>
    <t>ΒΥΡ</t>
  </si>
  <si>
    <t>Ξ752946</t>
  </si>
  <si>
    <t>ΜΠΙΚΙΩΤΗΣ ΝΙΚΟΛΑΟΣ</t>
  </si>
  <si>
    <t>ΑΜ366685</t>
  </si>
  <si>
    <t>ΜΠΙΚΟΡΑΡΟΥ ΕΙΡΗΝΗ</t>
  </si>
  <si>
    <t>Χ641782</t>
  </si>
  <si>
    <t>ΜΠΙΚΟΥ ΜΑΡΙΑ</t>
  </si>
  <si>
    <t>ΑΙ714907</t>
  </si>
  <si>
    <t>ΜΠΙΛΙΑΣ ΒΑΣΙΛΕΙΟΣ</t>
  </si>
  <si>
    <t>ΑΚ805736</t>
  </si>
  <si>
    <t>ΜΠΙΛΙΧΟΥΤΗΣ ΘΕΟΔΩΡΟΣ</t>
  </si>
  <si>
    <t>ΑΖ438596</t>
  </si>
  <si>
    <t>ΜΠΙΜΠΕΡ ΝΙΧΑΤ</t>
  </si>
  <si>
    <t>ΜΠΑ</t>
  </si>
  <si>
    <t>ΑΗ907367</t>
  </si>
  <si>
    <t>ΜΠΙΜΠΙΚΟΣ ΧΡΗΣΤΟΣ</t>
  </si>
  <si>
    <t>Φ132813</t>
  </si>
  <si>
    <t>ΜΠΙΝΑ ΣΤΑΜΑΤΙΑ</t>
  </si>
  <si>
    <t>ΑΕ289262</t>
  </si>
  <si>
    <t>ΜΠΙΡΜΠΑΣ ΝΙΚΟΛΑΟΣ</t>
  </si>
  <si>
    <t>ΑΜ933839</t>
  </si>
  <si>
    <t>ΥΕ ΚΑΘΑΡΙΟΤΗΤΑΣ (ΕΡΓΑΤΕΣ ΚΑΘΑΡΙΟΤΗΤΑΣ)</t>
  </si>
  <si>
    <t>ΜΠΙΣΜΠΙΚΗ ΑΓΓΕΛΙΚΗ</t>
  </si>
  <si>
    <t>ΑΕ311601</t>
  </si>
  <si>
    <t>ΜΠΙΣΤΙΝΤΖΑΝΟΥ ΒΑΣΙΛΙΚΗ</t>
  </si>
  <si>
    <t>ΑΙ229037</t>
  </si>
  <si>
    <t>ΜΠΙΣΧΙΤΖΗΣ ΜΙΧΑΗΛ</t>
  </si>
  <si>
    <t>Π548683</t>
  </si>
  <si>
    <t>ΜΠΙΤΖΙΛΗ ΘΕΟΛΟΓΙΑ</t>
  </si>
  <si>
    <t>ΑΚ227902</t>
  </si>
  <si>
    <t>ΜΠΙΤΣΙΚΩΚΟΥ ΘΕΟΦΑΝΗ</t>
  </si>
  <si>
    <t>ΑΕ72634</t>
  </si>
  <si>
    <t>ΜΠΙΤΣΟΠΟΥΛΟΥ ΣΟΦΙΑ</t>
  </si>
  <si>
    <t>ΑΑ012887</t>
  </si>
  <si>
    <t>ΜΠΙΤΥΡΙΝΗ ΜΑΡΙΑΝΝΑ</t>
  </si>
  <si>
    <t>ΑΙ456713</t>
  </si>
  <si>
    <t>ΜΠΛΑΝΤΑ ΑΘΑΝΑΣΙΑ</t>
  </si>
  <si>
    <t>Σ923740</t>
  </si>
  <si>
    <t>ΜΠΛΑΝΤΑ ΓΕΩΡΓΙΑ</t>
  </si>
  <si>
    <t>ΑΜ811648</t>
  </si>
  <si>
    <t>ΜΠΛΕΤΣΑ ΕΙΡΗΝΗ</t>
  </si>
  <si>
    <t>Σ787575</t>
  </si>
  <si>
    <t>ΜΠΛΕΤΣΙΟΣ ΙΩΑΝΝΗΣ</t>
  </si>
  <si>
    <t>Σ852186</t>
  </si>
  <si>
    <t>ΜΠΛΙΑΓΚΟΥ ΧΡΥΣΟΥΛΑ</t>
  </si>
  <si>
    <t>Σ904018</t>
  </si>
  <si>
    <t>ΜΠΛΙΑΜΠΛΙΑ ΑΘΑΝΑΣΙΑ</t>
  </si>
  <si>
    <t>Σ923008</t>
  </si>
  <si>
    <t>ΜΠΛΙΑΜΠΛΙΑ ΕΛΕΝΗ</t>
  </si>
  <si>
    <t>Χ415278</t>
  </si>
  <si>
    <t>ΜΠΛΙΑΜΠΛΙΑΣ ΣΩΤΗΡΗΣ</t>
  </si>
  <si>
    <t>ΑΖ264879</t>
  </si>
  <si>
    <t>ΜΠΛΟΓΚΟΥΡΑ ΜΑΡΙΑ</t>
  </si>
  <si>
    <t>ΑΙ840017</t>
  </si>
  <si>
    <t>ΜΠΟΒΟΛΟΥ ΛΑΜΠΡΙΝΗ</t>
  </si>
  <si>
    <t>ΑΒ319976</t>
  </si>
  <si>
    <t>ΜΠΟΓΙΑΡ ΡΑΜΑΔΑΝ</t>
  </si>
  <si>
    <t>ΑΕ906306</t>
  </si>
  <si>
    <t>ΜΠΟΓΙΑΡ ΧΟΥΣΕΙΝ ΣΑΖΙΕ</t>
  </si>
  <si>
    <t>ΑΖ403360</t>
  </si>
  <si>
    <t>ΜΠΟΓΛΗΣ ΧΡΗΣΤΟΣ</t>
  </si>
  <si>
    <t>Χ488682</t>
  </si>
  <si>
    <t>ΜΠΟΓΡΗΣ ΙΩΑΝΝΗΣ</t>
  </si>
  <si>
    <t>ΑΜ995164</t>
  </si>
  <si>
    <t>ΜΠΟΖΑΤΖΗ ΑΙΚΑΤΕΡΙΝΗ</t>
  </si>
  <si>
    <t>Π413040</t>
  </si>
  <si>
    <t>ΜΠΟΖΙΝΗ ΠΑΡΑΣΚΕΥΗ</t>
  </si>
  <si>
    <t>Τ348681</t>
  </si>
  <si>
    <t>ΜΠΟΛΜΠΟΤ ΑΛΕΞΕΙ</t>
  </si>
  <si>
    <t>ΓΚΕ</t>
  </si>
  <si>
    <t>ΑΜ631991</t>
  </si>
  <si>
    <t>ΜΠΟΜΠΟΡΗΣ ΧΑΡΑΛΑΜΠΟΣ</t>
  </si>
  <si>
    <t>Φ321263</t>
  </si>
  <si>
    <t>ΜΠΟΜΠΟΥ ΑΙΚΑΤΕΡΙΝΗ</t>
  </si>
  <si>
    <t>ΑΙ186893</t>
  </si>
  <si>
    <t>ΜΠΟΝΑΝΟΥ ΣΤΕΛΛΑ</t>
  </si>
  <si>
    <t>Ρ608423</t>
  </si>
  <si>
    <t>ΜΠΟΝΗ ΦΩΤΕΙΝΗ ΕΛΙΣΣΑΒΕΤ</t>
  </si>
  <si>
    <t>ΑΖ533371</t>
  </si>
  <si>
    <t>ΜΠΟΝΤΖΟΥ ΑΙΚΑΤΕΡΙΝΗ</t>
  </si>
  <si>
    <t>Χ057238</t>
  </si>
  <si>
    <t>ΜΠΟΡΔΕΛΙΑ ΣΥΝΟΥΛΑ</t>
  </si>
  <si>
    <t>Λ787891</t>
  </si>
  <si>
    <t>ΜΠΟΣΝΑΚΙΔΟΥ ΛΟΥΚΙΑ</t>
  </si>
  <si>
    <t>ΑΑ408654</t>
  </si>
  <si>
    <t>ΜΠΟΤΣΑΣ ΝΙΚΟΛΑΟΣ</t>
  </si>
  <si>
    <t>Χ526803</t>
  </si>
  <si>
    <t>ΜΠΟΤΣΙΒΑΛΗΣ ΔΗΜΗΤΡΙΟΣ</t>
  </si>
  <si>
    <t>ΑΚ607760</t>
  </si>
  <si>
    <t>ΜΠΟΤΣΙΔΟΥ ΕΛΕΥΘΕΡΙΑ</t>
  </si>
  <si>
    <t>ΑΒ165419</t>
  </si>
  <si>
    <t>ΜΠΟΥΑΣ ΔΗΜΗΤΡΙΟΣ</t>
  </si>
  <si>
    <t>ΑΜ355744</t>
  </si>
  <si>
    <t>ΜΠΟΥΓΑ ΑΓΓΕΛΙΚΗ</t>
  </si>
  <si>
    <t>Χ838591</t>
  </si>
  <si>
    <t>ΜΠΟΥΓΑΛΗ ΕΥΦΡΟΣ</t>
  </si>
  <si>
    <t>Χ158151</t>
  </si>
  <si>
    <t>ΜΠΟΥΓΙΑ ΧΡΙΣΤΙΝΑ</t>
  </si>
  <si>
    <t>ΑΖ503925</t>
  </si>
  <si>
    <t>ΜΠΟΥΖΑΙΟΥ ΞΑΝΘΙΠΠΗ</t>
  </si>
  <si>
    <t>ΑΕ482981</t>
  </si>
  <si>
    <t>ΜΠΟΥΖΗ ΜΑΡΙΑ</t>
  </si>
  <si>
    <t>ΑΒ414996</t>
  </si>
  <si>
    <t>ΜΠΟΥΖΟΥΝΙΕΡΑΚΗ ΣΟΦΙΑ</t>
  </si>
  <si>
    <t>ΑΒ540490</t>
  </si>
  <si>
    <t>ΜΠΟΥΙΚΛΗ ΜΑΡΙΑ</t>
  </si>
  <si>
    <t>ΑΜ669849</t>
  </si>
  <si>
    <t>ΜΠΟΥΚΛΑΣ ΝΕΚΤΑΡΙΑ</t>
  </si>
  <si>
    <t>ΑΗ294367</t>
  </si>
  <si>
    <t>ΜΠΟΥΚΟΥΒΑΛΑ ΑΝΝΑ</t>
  </si>
  <si>
    <t>ΑΒ849344</t>
  </si>
  <si>
    <t xml:space="preserve">ΜΠΟΥΚΟΥΒΑΛΑ ΟΛΓΑ </t>
  </si>
  <si>
    <t>ΑΖ683826</t>
  </si>
  <si>
    <t>ΜΠΟΥΚΟΥΒΑΛΑ ΠΕΡΣΕΦΩΝΗ</t>
  </si>
  <si>
    <t>Ρ851171</t>
  </si>
  <si>
    <t>ΜΠΟΥΚΟΥΒΑΛΑΣ ΣΠΥΡΟΣ</t>
  </si>
  <si>
    <t>ΑΚ811213</t>
  </si>
  <si>
    <t>ΜΠΟΥΛΑΚΑ ΜΕΛΠΟΜΕΝΗ</t>
  </si>
  <si>
    <t>ΑΕ122738</t>
  </si>
  <si>
    <t>ΜΠΟΥΛΑΣΙΚΗ ΒΑΙΑ</t>
  </si>
  <si>
    <t>ΑΙ288531</t>
  </si>
  <si>
    <t>ΜΠΟΥΛΟΓΕΩΡΓΟΣ ΑΛΕΞΙΟΣ</t>
  </si>
  <si>
    <t>ΑΚ988877</t>
  </si>
  <si>
    <t>ΜΠΟΥΜΠΑΛΟΣ ΑΝΤΩΝΙΟΣ</t>
  </si>
  <si>
    <t>Χ723366</t>
  </si>
  <si>
    <t>ΜΠΟΥΜΠΟΥΓΙΑΤΖΗΣ ΛΕΩΝΙΔΑΣ</t>
  </si>
  <si>
    <t>ΑΖ659681</t>
  </si>
  <si>
    <t>ΜΠΟΥΜΠΟΥΡΕΚΑ ΧΡΥΣΟΥΛΑ</t>
  </si>
  <si>
    <t>Π181024</t>
  </si>
  <si>
    <t>ΜΠΟΥΝΑ ΕΥΑΓΓΕΛΙΑ</t>
  </si>
  <si>
    <t>ΑΜ770104</t>
  </si>
  <si>
    <t>ΜΠΟΥΝΙΑΣ ΓΕΩΡΓΙΟΣ</t>
  </si>
  <si>
    <t>ΑΚ654782</t>
  </si>
  <si>
    <t>ΜΠΟΥΝΟΥ ΕΛΕΝΗ</t>
  </si>
  <si>
    <t>Ρ661959</t>
  </si>
  <si>
    <t>ΜΠΟΥΝΤΑΓΚΗ ΕΛΒΙΡΑ</t>
  </si>
  <si>
    <t>ΑΚ866714</t>
  </si>
  <si>
    <t>ΜΠΟΥΝΤΑΓΚΙΔΟΥ ΝΑΝΤΕΖΝΤΑ</t>
  </si>
  <si>
    <t>ΑΝ209821</t>
  </si>
  <si>
    <t>ΜΠΟΥΝΤΑΙΤΗ ΜΑΡΙΑ</t>
  </si>
  <si>
    <t>ΑΜ869442</t>
  </si>
  <si>
    <t>ΜΠΟΥΝΤΟΥΛΟΥΛΗΣ ΔΗΜΗΤΡΙΟΣ</t>
  </si>
  <si>
    <t>ΑΙ835759</t>
  </si>
  <si>
    <t>ΜΠΟΥΝΤΩΛΑΣ ΒΑΣΙΛΕΙΟΣ</t>
  </si>
  <si>
    <t>ΑΜ412100</t>
  </si>
  <si>
    <t>ΜΠΟΥΡΑ ΑΛΕΞΑΝΔΡΑ</t>
  </si>
  <si>
    <t>Φ208867</t>
  </si>
  <si>
    <t>ΜΠΟΥΡΑΣ ΧΑΡΑΛΑΜΠΟΣ</t>
  </si>
  <si>
    <t>ΑΒ061078</t>
  </si>
  <si>
    <t>ΜΠΟΥΡΔΑΜΗΣ ΝΙΚΟΛΑΟΣ</t>
  </si>
  <si>
    <t>ΑΚ703524</t>
  </si>
  <si>
    <t>ΜΠΟΥΡΛΑ ΑΘΑΝΑΣΙΑ</t>
  </si>
  <si>
    <t>Τ000712</t>
  </si>
  <si>
    <t>ΜΠΟΥΡΛΑΚΗ ΣΟΦΙΑ</t>
  </si>
  <si>
    <t>Ρ068808</t>
  </si>
  <si>
    <t>ΜΠΟΥΡΜΠΟΥΛΗΣ ΒΑΣΙΛΕΙΟΣ</t>
  </si>
  <si>
    <t>ΑΚ670344</t>
  </si>
  <si>
    <t>ΜΠΟΥΡΜΠΟΥΝ ΣΕΖΑΙ</t>
  </si>
  <si>
    <t>ΑΜ921814</t>
  </si>
  <si>
    <t>ΜΠΟΥΡΝΑΖΟΥ ΕΥΘΥΜΙΑ</t>
  </si>
  <si>
    <t>ΑΜ151682</t>
  </si>
  <si>
    <t>ΜΠΟΥΡΤΣΟΥΚΛΗΣ ΠΑΝΑΓΙΩΤΗΣ</t>
  </si>
  <si>
    <t>ΑΕ732846</t>
  </si>
  <si>
    <t>ΜΠΟΥΣΔΡΗ ΧΑΡΙΚΛΕΙΑ</t>
  </si>
  <si>
    <t>Π920097</t>
  </si>
  <si>
    <t>ΜΠΟΥΣΙΑΣ ΓΕΩΡΓΙΟΣ</t>
  </si>
  <si>
    <t>Χ930807</t>
  </si>
  <si>
    <t>ΜΠΟΥΤΖΑΝΗ ΑΝΔΡΟΜΑΧΗ</t>
  </si>
  <si>
    <t>ΒΕΛ</t>
  </si>
  <si>
    <t>Σ767567</t>
  </si>
  <si>
    <t>ΜΠΟΥΤΙΟΥ ΜΑΡΙΝΑ</t>
  </si>
  <si>
    <t>ΑΑ338293</t>
  </si>
  <si>
    <t>ΜΠΟΥΤΛΑΣ ΧΡΗΣΤΟΣ</t>
  </si>
  <si>
    <t>ΑΗ263190</t>
  </si>
  <si>
    <t>ΜΠΟΥΤΣΙΚΑΡΗ ΧΡΙΣΤΙΝΑ</t>
  </si>
  <si>
    <t>ΑΙ554297</t>
  </si>
  <si>
    <t>ΜΠΟΥΦΗΣ ΧΑΡΑΛΑΜΠΟΣ</t>
  </si>
  <si>
    <t>Π589204</t>
  </si>
  <si>
    <t>ΔΗΜΟΣ ΣΠΕΤΣΩΝ ΠΕΙΡΑΙΑ</t>
  </si>
  <si>
    <t>ΜΠΟΥΦΙΔΗ ΒΑΡΒΑΡΑ-ΜΑΡΙΑ</t>
  </si>
  <si>
    <t>Τ017831</t>
  </si>
  <si>
    <t>ΜΠΡΑΙΛΗ ΜΑΡΙΑ</t>
  </si>
  <si>
    <t>ΑΚ909540</t>
  </si>
  <si>
    <t>ΜΠΡΑΤΗ ΜΑΡΙΑ</t>
  </si>
  <si>
    <t>ΑΒ556067</t>
  </si>
  <si>
    <t>ΜΠΡΕΓΚΟΥ ΕΛΕΝΗ</t>
  </si>
  <si>
    <t>ΑΜ889911</t>
  </si>
  <si>
    <t>ΜΠΡΕΖΑ ΑΦΡΟΔΙΤΗ</t>
  </si>
  <si>
    <t>ΑΙ030926</t>
  </si>
  <si>
    <t>ΜΠΡΕΛΟΥ ΚΑΤΕΡΙΝΑ</t>
  </si>
  <si>
    <t>Χ326280</t>
  </si>
  <si>
    <t>ΜΠΡΙΣΙΜΙΤΖΗ ΚΑΤΕΡΙΝΑ</t>
  </si>
  <si>
    <t>Ρ802095</t>
  </si>
  <si>
    <t>ΜΠΡΟΚΟΥ ΕΙΡΗΝΗ</t>
  </si>
  <si>
    <t>ΑΙ456493</t>
  </si>
  <si>
    <t>ΜΠΡΟΥΖΑ ΚΑΛΛΙΟΠΗ</t>
  </si>
  <si>
    <t>ΑΗ265070</t>
  </si>
  <si>
    <t>ΜΠΡΟΥΧΟΣ ΙΩΑΝΝΗΣ</t>
  </si>
  <si>
    <t>ΑΗ859795</t>
  </si>
  <si>
    <t>ΜΥΓΑ ΚΩΝΣΤΑΝΤΙΝΑ</t>
  </si>
  <si>
    <t>ΑΑ308096</t>
  </si>
  <si>
    <t>ΜΥΖΗΘΡΑ ΔΕΣΠΟΙΝΑ</t>
  </si>
  <si>
    <t>Χ174094</t>
  </si>
  <si>
    <t>ΜΥΖΗΘΡΑΣ ΓΕΩΡΓΙΟΣ</t>
  </si>
  <si>
    <t>Σ779871</t>
  </si>
  <si>
    <t>ΜΥΛΩΝΑ ΔΕΣΠΟΙΝΑ</t>
  </si>
  <si>
    <t>Τ541255</t>
  </si>
  <si>
    <t>ΜΥΛΩΝΑ ΕΙΡΗΝΗ</t>
  </si>
  <si>
    <t>Τ044713</t>
  </si>
  <si>
    <t>ΜΥΛΩΝΑ ΜΑΡΙΑ</t>
  </si>
  <si>
    <t>Π724580</t>
  </si>
  <si>
    <t>ΜΥΛΩΝΑΣ ΙΩΑΝΝΗΣ</t>
  </si>
  <si>
    <t>ΑΖ714239</t>
  </si>
  <si>
    <t>ΜΥΛΩΝΑΣ ΜΙΧΑΗΛ</t>
  </si>
  <si>
    <t>Χ749119</t>
  </si>
  <si>
    <t>ΜΥΛΩΝΑΣ ΧΡΗΣΤΟΣ</t>
  </si>
  <si>
    <t>ΑΙ048448</t>
  </si>
  <si>
    <t>ΜΥΡΙΑΝΘΟΠΟΥΛΟΣ ΙΩΣΗΦ</t>
  </si>
  <si>
    <t>ΑΖ377020</t>
  </si>
  <si>
    <t>ΜΥΡΙΔΟΥ ΑΝΝΑ</t>
  </si>
  <si>
    <t>ΑΗ192391</t>
  </si>
  <si>
    <t>ΜΥΡΙΟΥΝΗΣ ΔΗΜΗΤΡΙΟΣ</t>
  </si>
  <si>
    <t>ΑΕ728831</t>
  </si>
  <si>
    <t>ΜΥΡΙΣΚΛΑΒΟΥ ΕΛΕΝΗ</t>
  </si>
  <si>
    <t>Λ086297</t>
  </si>
  <si>
    <t>ΜΥΡΤΣΙΩΤΗ ΠΑΝΑΓΙΩΤΑ</t>
  </si>
  <si>
    <t>Σ385502</t>
  </si>
  <si>
    <t>ΜΥΣΙΡΛΑΚΗ ΚΑΛΛΙΟΠΗ</t>
  </si>
  <si>
    <t>ΑΜ016791</t>
  </si>
  <si>
    <t>ΜΥΣΤΕΓΝΙΩΤΗΣ ΙΩΑΝΝΗΣ</t>
  </si>
  <si>
    <t>ΑΚ630437</t>
  </si>
  <si>
    <t>ΜΥΣΤΡΑΚΗ ΕΛΕΝΗ</t>
  </si>
  <si>
    <t>Ρ443803</t>
  </si>
  <si>
    <t>ΜΥΤΑΣ ΜΙΧΑΗΛ</t>
  </si>
  <si>
    <t>ΑΖ522557</t>
  </si>
  <si>
    <t>ΜΩΚΟΥ ΓΕΩΡΓΙΑ</t>
  </si>
  <si>
    <t>Ρ238224</t>
  </si>
  <si>
    <t>ΜΩΡΑΓΙΑΝΝΗΣ ΑΘΑΝΑΣΙΟΣ</t>
  </si>
  <si>
    <t>Λ922518</t>
  </si>
  <si>
    <t>ΜΩΡΑΙΤΗ ΓΕΡΑΣΙΜΟΥΛΑ</t>
  </si>
  <si>
    <t>ΑΜ754666</t>
  </si>
  <si>
    <t>ΜΩΡΑΙΤΗ ΔΗΜΗΤΡΑ</t>
  </si>
  <si>
    <t>Χ150702</t>
  </si>
  <si>
    <t>ΜΩΡΑΙΤΗ ΕΛΕΝΗ</t>
  </si>
  <si>
    <t>ΑΙ588164</t>
  </si>
  <si>
    <t>ΜΩΡΑΙΤΗ ΣΥΡΜΑΤΕΝΙΑ</t>
  </si>
  <si>
    <t>ΑΒ365206</t>
  </si>
  <si>
    <t>ΜΩΡΑΙΤΗΣ ΕΜΜΑΝΟΥΗΛ</t>
  </si>
  <si>
    <t>ΑΕ334447</t>
  </si>
  <si>
    <t>ΜΩΡΑΙΤΗΣ ΠΑΝΑΓΙΩΤΗΣ</t>
  </si>
  <si>
    <t>ΑΜ150066</t>
  </si>
  <si>
    <t>ΜΩΥΣΙΔΗΣ ΠΑΝΑΓΙΩΤΗΣ</t>
  </si>
  <si>
    <t>ΑΕ385836</t>
  </si>
  <si>
    <t>ΜΩΧΑΜΕΝΤ ΑΝΤΕΛ</t>
  </si>
  <si>
    <t>ΜΩΧ</t>
  </si>
  <si>
    <t>ΑΜ096192</t>
  </si>
  <si>
    <t>ΝΑΒΡΟΖΙΔΗΣ ΓΕΩΡΓΙΟΣ</t>
  </si>
  <si>
    <t>ΑΚ445784</t>
  </si>
  <si>
    <t>ΝΑΒΡΟΥΖΟΓΛΟΥ ΔΙΟΝΥΣΙΟΣ</t>
  </si>
  <si>
    <t>Χ947020</t>
  </si>
  <si>
    <t>ΝΑΚΑ ΠΑΝΑΓΙΩΤΑ</t>
  </si>
  <si>
    <t>Σ933103</t>
  </si>
  <si>
    <t>ΝΑΚΗ ΣΕΒΑΣΤΗ</t>
  </si>
  <si>
    <t>ΑΗ739382</t>
  </si>
  <si>
    <t>ΝΑΟΣ ΑΘΑΝΑΣΙΟΣ</t>
  </si>
  <si>
    <t>ΑΒ821538</t>
  </si>
  <si>
    <t>ΝΑΟΥΜ ΓΕΩΡΓΙΟΣ</t>
  </si>
  <si>
    <t>ΑΜ247525</t>
  </si>
  <si>
    <t>ΝΑΟΥΜΗ ΠΑΤΡΟΥΛΑ</t>
  </si>
  <si>
    <t>ΑΚ375866</t>
  </si>
  <si>
    <t>ΝΑΣΕΛΑΣ-ΔΗΜΗΤΡΙΟΥ ΝΙΚΟΛΑΟΣ</t>
  </si>
  <si>
    <t>ΑΒ491713</t>
  </si>
  <si>
    <t>ΝΑΣΙΟΠΟΥΛΟΥ ΓΕΩΡΓΙΑ</t>
  </si>
  <si>
    <t>ΑΒ395288</t>
  </si>
  <si>
    <t>ΝΑΣΙΟΥΛΑ ΝΙΚΗ</t>
  </si>
  <si>
    <t>ΑΒ429107</t>
  </si>
  <si>
    <t>ΝΑΣΤΟΥΛΗΣ ΧΡΗΣΤΟΣ</t>
  </si>
  <si>
    <t>ΑΖ746281</t>
  </si>
  <si>
    <t>ΝΆΤΣΗΣ ΔΗΜΉΤΡΗΣ</t>
  </si>
  <si>
    <t>ΑΝ027726</t>
  </si>
  <si>
    <t>ΝΑΤΣΙΑΡΙΔΗΣ ΔΗΜΗΤΡΙΟΣ</t>
  </si>
  <si>
    <t>Τ225627</t>
  </si>
  <si>
    <t>ΝΑΤΣΟΣ ΓΕΩΡΓΙΟΣ</t>
  </si>
  <si>
    <t>ΑΗ293347</t>
  </si>
  <si>
    <t>ΝΕΓΡΗ ΕΛΕΝΗ</t>
  </si>
  <si>
    <t>ΑΒ600479</t>
  </si>
  <si>
    <t xml:space="preserve">ΝΕΔΕΛΚΟΣ ΠΑΝΤΕΛΗΣ </t>
  </si>
  <si>
    <t>ΝΑΟ</t>
  </si>
  <si>
    <t>Μ720873</t>
  </si>
  <si>
    <t>ΝΕΚΤΑΡΙΑ ΔΗΜΗΡΗ</t>
  </si>
  <si>
    <t>ΑΝ318080</t>
  </si>
  <si>
    <t>ΝΕΝΟΥ ΔΗΜΗΤΡΑ</t>
  </si>
  <si>
    <t>ΑΙ353119</t>
  </si>
  <si>
    <t>ΝΕΡΑΝΤΖΟΥΛΑΚΗ ΕΛΕΝΗ</t>
  </si>
  <si>
    <t>ΑΜ670356</t>
  </si>
  <si>
    <t>ΝΕΡΑΝΤΖΟΥΛΗΣ ΔΗΜΗΤΡΙΟΣ</t>
  </si>
  <si>
    <t>ΑΒ485904</t>
  </si>
  <si>
    <t>ΝΕΣΤΟΥΡΗΣ ΖΑΧΟΣ</t>
  </si>
  <si>
    <t>ΑΙ418965</t>
  </si>
  <si>
    <t>ΝΕΤΗ ΕΛΙΣΑΒΕΤ</t>
  </si>
  <si>
    <t>Ν227253</t>
  </si>
  <si>
    <t>ΝΙΖΑΜΙΔΗΣ ΘΕΟΧΑΡΗΣ</t>
  </si>
  <si>
    <t>Τ202937</t>
  </si>
  <si>
    <t>ΝΙΖΑΜΙΔΟΥ ΜΑΡΙΑ</t>
  </si>
  <si>
    <t>Τ203369</t>
  </si>
  <si>
    <t>ΝΙΚΑ ΖΩΗ</t>
  </si>
  <si>
    <t>ΑΜ669824</t>
  </si>
  <si>
    <t>ΝΙΚΑ ΜΑΡΙΑ</t>
  </si>
  <si>
    <t>Σ139935</t>
  </si>
  <si>
    <t>ΝΙΚΑΣ ΘΕΟΔΩΡΟΣ</t>
  </si>
  <si>
    <t>ΑΒ413891</t>
  </si>
  <si>
    <t>ΝΙΚΑΣ ΝΙΚΟΣ</t>
  </si>
  <si>
    <t>ΑΜ788634</t>
  </si>
  <si>
    <t>ΝΙΚΗΤΑ ΝΕΚΤΑΡΙΑ</t>
  </si>
  <si>
    <t>ΑΝ516504</t>
  </si>
  <si>
    <t>ΝΙΚΗΤΑΡΑ ΕΜΜΑΝΟΥΕΛΑ</t>
  </si>
  <si>
    <t>ΑΒ963303</t>
  </si>
  <si>
    <t>ΝΙΚΗΤΟΓΛΟΥ ΑΡΓΥΡΩ</t>
  </si>
  <si>
    <t>Ξ595632</t>
  </si>
  <si>
    <t>ΝΙΚΗΦΟΡΙΔΟΥ ΛΑΟΥΡΑ</t>
  </si>
  <si>
    <t>ΑΜ692742</t>
  </si>
  <si>
    <t>ΝΙΚΗΦΟΡΙΔΟΥ ΜΑΝΑΝΑ</t>
  </si>
  <si>
    <t>ΜΙΡ</t>
  </si>
  <si>
    <t>ΑΜ190891</t>
  </si>
  <si>
    <t>ΝΙΚΟΛΑΙΔΗ ΑΓΓΕΛΑ</t>
  </si>
  <si>
    <t>ΑΒ243744</t>
  </si>
  <si>
    <t>ΝΙΚΟΛΑΙΔΗ ΕΛΛΗ</t>
  </si>
  <si>
    <t>ΑΖ959392</t>
  </si>
  <si>
    <t>ΝΙΚΟΛΑΙΔΗ ΣΟΦΙΑ</t>
  </si>
  <si>
    <t>Χ349026</t>
  </si>
  <si>
    <t>ΝΙΚΟΛΑΙΔΗΣ ΔΗΜΗΤΡΙΟΣ</t>
  </si>
  <si>
    <t>ΑΚ674008</t>
  </si>
  <si>
    <t>ΝΙΚΟΛΑΙΔΗΣ ΚΩΝΣΤΑΝΤΙΝΟΣ</t>
  </si>
  <si>
    <t>Π563292</t>
  </si>
  <si>
    <t>ΝΙΚΟΛΑΙΔΗΣ ΝΙΚΟΛΑΟΣ</t>
  </si>
  <si>
    <t>ΑΖ298616</t>
  </si>
  <si>
    <t>ΝΙΚΟΛΑΙΔΗΣ ΣΤΕΦΑΝΟΣ</t>
  </si>
  <si>
    <t>ΑΗ870881</t>
  </si>
  <si>
    <t>ΝΙΚΟΛΑΙΔΟΥ ΓΡΗΓΟΡΙΑ</t>
  </si>
  <si>
    <t>Χ179786</t>
  </si>
  <si>
    <t>ΝΙΚΟΛΑΙΔΟΥ ΕΛΙΣΑΒΕΤ</t>
  </si>
  <si>
    <t>ΑΗ334977</t>
  </si>
  <si>
    <t>ΝΙΚΟΛΑΙΔΟΥ ΕΥΦΡΟΣΥΝΗ</t>
  </si>
  <si>
    <t>Χ845893</t>
  </si>
  <si>
    <t>ΝΙΚΟΛΑΙΔΟΥ ΙΩΑΝΝΑ</t>
  </si>
  <si>
    <t>Χ971506</t>
  </si>
  <si>
    <t>ΝΙΚΟΛΑΙΔΟΥ ΣΠΥΡΙΔΟΥΛΑ</t>
  </si>
  <si>
    <t>ΑΖ820192</t>
  </si>
  <si>
    <t>ΝΙΚΟΛΑΙ??ΔΟΥ  ΕΛΙΣΑΒΕΤ</t>
  </si>
  <si>
    <t>ΑΙ603665</t>
  </si>
  <si>
    <t>ΝΙΚΟΛΑΚΟΠΟΥΛOY ΒΑΣΙΛΙΚΗ</t>
  </si>
  <si>
    <t>ΑΗ703254</t>
  </si>
  <si>
    <t>ΝΙΚΟΛΑΚΟΠΟΥΛΟΣ ΒΑΣΙΛΕΙΟΣ</t>
  </si>
  <si>
    <t>ΑΜ743335</t>
  </si>
  <si>
    <t>ΝΙΚΟΛΑΚΟΠΟΥΛΟΣ ΙΩΑΝΝΗΣ</t>
  </si>
  <si>
    <t>ΑΒ383201</t>
  </si>
  <si>
    <t>ΝΙΚΟΛΑΚΟΠΟΥΛΟΥ ΑΓΓΕΛΙΚΗ</t>
  </si>
  <si>
    <t>Π125609</t>
  </si>
  <si>
    <t>ΝΙΚΟΛΑΚΟΠΟΥΛΟΥ ΑΘΗΝΑ</t>
  </si>
  <si>
    <t>ΑΒ312814</t>
  </si>
  <si>
    <t>ΝΙΚΟΛΑΚΟΠΟΥΛΟΥ ΓΕΩΡΓΙΑ</t>
  </si>
  <si>
    <t>Σ849738</t>
  </si>
  <si>
    <t>ΝΙΚΟΛΑΚΟΠΟΥΛΟΥ ΔΙΑΜΑΝΤΩ</t>
  </si>
  <si>
    <t>ΑΗ207509</t>
  </si>
  <si>
    <t>ΝΙΚΟΛΑΚΟΠΟΥΛΟΥ ΠΑΝΑΓΙΩΤΑ</t>
  </si>
  <si>
    <t>ΑΙ751407</t>
  </si>
  <si>
    <t>ΝΙΚΟΛΑΟΣ ΚΑΡΙΜΑΛΗ</t>
  </si>
  <si>
    <t>ΑΕ293556</t>
  </si>
  <si>
    <t>ΝΙΚΟΛΑΟΣ ΠΑΤΣΙΑΝΙΔΗΣ</t>
  </si>
  <si>
    <t>Τ192296</t>
  </si>
  <si>
    <t>ΝΙΚΟΛΑΟΥ ΑΓΓΕΛΙΚΗ</t>
  </si>
  <si>
    <t>Τ313302</t>
  </si>
  <si>
    <t>ΝΙΚΟΛΑΟΥ ΑΝΑΣΤΑΣΙΑ</t>
  </si>
  <si>
    <t>Χ556572</t>
  </si>
  <si>
    <t>ΝΙΚΟΛΑΟΥ ΒΑΣΙΛΙΚΗ</t>
  </si>
  <si>
    <t>ΑΑ970095</t>
  </si>
  <si>
    <t>ΝΙΚΟΛΑΟΥ ΓΕΩΡΓΙΟΣ</t>
  </si>
  <si>
    <t>Χ584899</t>
  </si>
  <si>
    <t>Χ835183</t>
  </si>
  <si>
    <t>ΝΙΚΟΛΑΟΥ ΔΗΜΗΤΡΗΣ</t>
  </si>
  <si>
    <t>Χ126551</t>
  </si>
  <si>
    <t>ΝΙΚΟΛΑΟΥ ΕΛΕΝΗ</t>
  </si>
  <si>
    <t>ΑΒ194080</t>
  </si>
  <si>
    <t>Ρ649693</t>
  </si>
  <si>
    <t>ΝΙΚΟΛΑΟΥ ΙΩΑΝΝΗΣ</t>
  </si>
  <si>
    <t>ΑΕ990134</t>
  </si>
  <si>
    <t>ΝΙΚΟΛΑΟΥ ΝΕΚΤΑΡΙΟΣ ΧΡΥΣΟΒΑΛΑΝΤΗΣ</t>
  </si>
  <si>
    <t>Σ830385</t>
  </si>
  <si>
    <t>ΝΙΚΟΛΑΟΥ ΠΑΝΑΓΙΩΤΗΣ</t>
  </si>
  <si>
    <t>ΑΕ489991</t>
  </si>
  <si>
    <t>ΑΙ988371</t>
  </si>
  <si>
    <t>ΝΙΚΟΛΑΟΥ ΧΑΡΙΤΙΝΗ</t>
  </si>
  <si>
    <t>Χ775521</t>
  </si>
  <si>
    <t>ΝΙΚΟΛΑΟΥ ΧΡΗΣΤΟΣ</t>
  </si>
  <si>
    <t>ΑΖ986439</t>
  </si>
  <si>
    <t>ΝΙΚΟΛΙΔΑΚΗ ΧΡΥΣΟΥΛΑ</t>
  </si>
  <si>
    <t>Ρ710722</t>
  </si>
  <si>
    <t>ΝΙΚΟΛΟΠΟΥΛΟΣ ΒΑΣΙΛΕΙΟΣ</t>
  </si>
  <si>
    <t>ΑΚ593769</t>
  </si>
  <si>
    <t>ΝΙΚΟΛΟΠΟΥΛΟΣ ΓΙΑΝΝΗΣ</t>
  </si>
  <si>
    <t>ΑΚ359553</t>
  </si>
  <si>
    <t>ΝΙΚΟΛΟΠΟΥΛΟΣ ΙΩΑΝΝΗΣ</t>
  </si>
  <si>
    <t>ΑΚ042904</t>
  </si>
  <si>
    <t>ΝΙΚΟΛΟΠΟΥΛΟΣ ΛΕΩΝΙΔΑΣ</t>
  </si>
  <si>
    <t>ΑΚ532034</t>
  </si>
  <si>
    <t>ΝΙΚΟΛΟΠΟΥΛΟΣ ΝΙΚΟΛΑΟΣ</t>
  </si>
  <si>
    <t>ΑΕ357874</t>
  </si>
  <si>
    <t>Σ623560</t>
  </si>
  <si>
    <t>ΝΙΚΟΛΟΠΟΥΛΟΣ ΠΑΝΑΓΙΩΤΗΣ</t>
  </si>
  <si>
    <t>ΑΖ216450</t>
  </si>
  <si>
    <t>ΝΙΚΟΛΟΠΟΥΛΟΣ ΣΠΥΡΙΔΩΝ</t>
  </si>
  <si>
    <t>Χ799785</t>
  </si>
  <si>
    <t>ΝΙΚΟΛΟΠΟΥΛΟΥ ΑΓΓΕΛΙΚΗ</t>
  </si>
  <si>
    <t>ΑΙ229645</t>
  </si>
  <si>
    <t>ΝΙΚΟΛΟΠΟΥΛΟΥ ΕΙΡΗΝΗ</t>
  </si>
  <si>
    <t>ΑΚ330169</t>
  </si>
  <si>
    <t>ΝΙΚΟΛΟΠΟΥΛΟΥ ΜΑΡΙΑ</t>
  </si>
  <si>
    <t>ΚΑΝ</t>
  </si>
  <si>
    <t>ΑΜ135320</t>
  </si>
  <si>
    <t>ΝΙΚΟΛΟΥ ΝΙΚΟΛΑΟΣ</t>
  </si>
  <si>
    <t>ΑΝ080204</t>
  </si>
  <si>
    <t>ΝΙΚΟΜΑΝΗ ΕΛΕΝΗ</t>
  </si>
  <si>
    <t>Χ882495</t>
  </si>
  <si>
    <t>ΝΙΚΟΜΑΝΗ ΕΥΑΝΘΙΑ</t>
  </si>
  <si>
    <t>Σ434161</t>
  </si>
  <si>
    <t>ΝΙΚΟΠΟΥΛΟΣ ΑΓΓΕΛΟΣ</t>
  </si>
  <si>
    <t>ΑΗ759016</t>
  </si>
  <si>
    <t>ΝΙΚΟΥ ΕΥΘΥΜΙΑ</t>
  </si>
  <si>
    <t>Ξ640180</t>
  </si>
  <si>
    <t>ΝΙΚΟΥ ΝΙΚΟΛΑΟΣ</t>
  </si>
  <si>
    <t>Χ083514</t>
  </si>
  <si>
    <t>ΝΙΤΣΑΣ ΧΡΗΣΤΟΣ</t>
  </si>
  <si>
    <t>ΑΖ718156</t>
  </si>
  <si>
    <t>ΝΟΛΤΣΗΣ ΓΙΩΡΓΟΣ</t>
  </si>
  <si>
    <t>Ν660100</t>
  </si>
  <si>
    <t>ΝΟΜΙΚΟΣ ΓΕΩΡΓΙΟΣ</t>
  </si>
  <si>
    <t>ΑΕ530993</t>
  </si>
  <si>
    <t>ΝΟΜΙΚΟΣ ΙΩΑΝΝΗΣ</t>
  </si>
  <si>
    <t>ΑΚ892572</t>
  </si>
  <si>
    <t>ΝΟΤΑΣ ΕΥΑΓΓΕΛΟΣ</t>
  </si>
  <si>
    <t>Τ393385</t>
  </si>
  <si>
    <t>ΝΟΤΗΣ ΝΙΚΟΛΑΟΣ</t>
  </si>
  <si>
    <t>Χ277081</t>
  </si>
  <si>
    <t>ΝΟΥΛΑΣ ΕΛΕΥΘΕΡΙΟΣ</t>
  </si>
  <si>
    <t>Ξ609792</t>
  </si>
  <si>
    <t>ΝΟΥΜΤΑΣ ΘΕΟΧΑΡΗΣ</t>
  </si>
  <si>
    <t>ΑΜ408116</t>
  </si>
  <si>
    <t>ΝΟΥΣΗ ΑΙΚΑΤΕΡΙΝΗ</t>
  </si>
  <si>
    <t>ΑΗ624170</t>
  </si>
  <si>
    <t>ΝΟΥΣΗ ΠΑΡΟΥΣΑ</t>
  </si>
  <si>
    <t>ΑΖ848282</t>
  </si>
  <si>
    <t>ΝΟΥΣΗΣ ΑΝΑΣΤΑΣΙΟΣ</t>
  </si>
  <si>
    <t>ΑΕ834832</t>
  </si>
  <si>
    <t>ΝΟΥΣΙΑ ΦΩΤΕΙΝΗ</t>
  </si>
  <si>
    <t>Ρ025853</t>
  </si>
  <si>
    <t>ΝΟΥΤΣΙΟΥ ΣΟΦΙΑ</t>
  </si>
  <si>
    <t>ΑΕ673710</t>
  </si>
  <si>
    <t>ΝΤΑΒΑΚΗ ΑΙΚΑΤΕΡΙΝΗ</t>
  </si>
  <si>
    <t>Φ177484</t>
  </si>
  <si>
    <t>ΝΤΑΒΑΡΗ ΑΘΗΝΑ</t>
  </si>
  <si>
    <t>ΑΙ769059</t>
  </si>
  <si>
    <t>ΝΤΑΒΑΡΗ ΟΛΓΑ</t>
  </si>
  <si>
    <t>ΑΕ240803</t>
  </si>
  <si>
    <t>ΝΤΑΒΟΣ ΣΠΥΡΙΔΩΝ</t>
  </si>
  <si>
    <t>ΑΜ336940</t>
  </si>
  <si>
    <t>ΝΤΑΓΙΑΚΑΣ ΚΩΝΣΤΑΝΤΙΝΟΣ</t>
  </si>
  <si>
    <t>ΑΚ313020</t>
  </si>
  <si>
    <t>ΝΤΑΓΚΑ ΧΡΙΣΤΙΝΑ</t>
  </si>
  <si>
    <t>Χ890949</t>
  </si>
  <si>
    <t>ΝΤΑΓΚΑΛΑ ΝΕΔΗΜΕ</t>
  </si>
  <si>
    <t>ΑΕ915344</t>
  </si>
  <si>
    <t>ΝΤΑΗ ΚΩΝΣΤΑΝΤΙΑ</t>
  </si>
  <si>
    <t>Σ311774</t>
  </si>
  <si>
    <t>ΝΤΑΙ??ΚΟΥ ΜΑΡΙΑΝΝΑ</t>
  </si>
  <si>
    <t>Σ783090</t>
  </si>
  <si>
    <t>ΝΤΑΚΟΥ ΣΟΦΙΑ</t>
  </si>
  <si>
    <t>Χ015586</t>
  </si>
  <si>
    <t>ΝΤΑΚΟΥΛΑ ΕΥΓΕΝΙΑ</t>
  </si>
  <si>
    <t>ΑΒ555917</t>
  </si>
  <si>
    <t>ΝΤΑΛΑΓΙΑΝΝΗ ΕΛΕΥΘΕΡΙΑ</t>
  </si>
  <si>
    <t>Χ459686</t>
  </si>
  <si>
    <t>ΝΤΑΛΑΦΟΥΡΑΣ ΙΩΑΝΝΗΣ</t>
  </si>
  <si>
    <t>Χ571334</t>
  </si>
  <si>
    <t>ΝΤΑΛΛΑ IΩΑΝΝΑ</t>
  </si>
  <si>
    <t>ΑΙ346394</t>
  </si>
  <si>
    <t>ΝΤΑΛΛΗ ΑΣΠΑΣΙΑ</t>
  </si>
  <si>
    <t>ΑΚ548354</t>
  </si>
  <si>
    <t>ΝΤΑΛΛΗ ΙΩΑΝΝΑ</t>
  </si>
  <si>
    <t>ΑΙ316717</t>
  </si>
  <si>
    <t>ΝΤΑΜΑΝΑΚΙΑΣ ΕΥΑΓΓΕΛΟΣ</t>
  </si>
  <si>
    <t>Π905427</t>
  </si>
  <si>
    <t>ΝΤΑΜΑΤΗΣ ΣΠΥΡΙΔΩΝ</t>
  </si>
  <si>
    <t>Ν821584</t>
  </si>
  <si>
    <t>ΝΤΑΜΠΙΖΑ ΕΥΡΥΔΙΚΗ</t>
  </si>
  <si>
    <t>ΑΗ183147</t>
  </si>
  <si>
    <t>ΝΤΑΝΕΛΗΣ ΓΕΩΡΓΙΟΣ</t>
  </si>
  <si>
    <t>ΑΙ252906</t>
  </si>
  <si>
    <t>ΔΗΜΟΣ ΚΕΝΤΡΙΚΩΝ ΤΖΟΥΜΕΡΚΩΝ</t>
  </si>
  <si>
    <t>ΝΤΑΝΟΣ ΒΑΣΙΛΕΙΟΣ</t>
  </si>
  <si>
    <t>ΑΗ933130</t>
  </si>
  <si>
    <t>ΝΤΑΝΟΥ ΕΥΑΝΘΙΑ</t>
  </si>
  <si>
    <t>ΑΜ822820</t>
  </si>
  <si>
    <t>ΝΤΑΝΤΗ ΕΙΡΗΝΗ</t>
  </si>
  <si>
    <t>Ξ944179</t>
  </si>
  <si>
    <t>ΝΤΑΡΖΑΝΟΥ ΚΑΝΕΛΛΑ</t>
  </si>
  <si>
    <t>ΑΙ623912</t>
  </si>
  <si>
    <t>ΝΤΑΤΙΔΟΥ ΕΛΕΩΝΟΡΑ</t>
  </si>
  <si>
    <t>ΑΒ742447</t>
  </si>
  <si>
    <t>ΔΗΜΟΤΙΚΗ ΕΠΙΧΕΙΡΗΣΗ ΥΔΡΕΥΣΗΣ - ΑΠΟΧΕΤΕΥΣΗΣ (Δ.Ε.Υ.Α.) ΔΗΜΟΥ ΑΒΔΗΡΩΝ</t>
  </si>
  <si>
    <t>ΝΤΑΦΟΓΙΑΝΝΗ ΜΑΡΙΑ</t>
  </si>
  <si>
    <t>Φ441787</t>
  </si>
  <si>
    <t>ΝΤΕ ΜΑΤΖΙΟ ΔΟΝΑΤΟΣ ΚΩΝΣΤΑΝΤΙΝΟΣ</t>
  </si>
  <si>
    <t>ΑΜ313512</t>
  </si>
  <si>
    <t>ΝΤΕΛΗΣ ΠΑΝΑΓΙΩΤΗΣ</t>
  </si>
  <si>
    <t>ΑΝ130967</t>
  </si>
  <si>
    <t>ΝΤΕΜΙΑΝ ΝΑΜΠΙΛ</t>
  </si>
  <si>
    <t>ΣΑΜ</t>
  </si>
  <si>
    <t>ΑΜ090765</t>
  </si>
  <si>
    <t>Ντεμσια Ευαγγελια</t>
  </si>
  <si>
    <t>Λαμ</t>
  </si>
  <si>
    <t>Σ030560</t>
  </si>
  <si>
    <t>ΔΗΜΟΣ ΣΟΥΛΙΟΥ</t>
  </si>
  <si>
    <t>ΝΤΕΡΜΠΕΝΤΕΡΗΣ ΔΗΜΟΚΡΑΤΗΣ</t>
  </si>
  <si>
    <t>ΑΗ816991</t>
  </si>
  <si>
    <t>ΝΤΖΕΡΕΜΕΣ ΝΙΚΟΛΑΟΣ</t>
  </si>
  <si>
    <t>ΝΤΖΕΡΕΜΕΣ ΧΡΗΣΤΟΣ</t>
  </si>
  <si>
    <t>ΑΕ574034</t>
  </si>
  <si>
    <t>ΝΤΙΚΑΣ ΚΩΝΣΤΑΝΤΙΝΟΣ</t>
  </si>
  <si>
    <t>Χ375412</t>
  </si>
  <si>
    <t>ΝΤΙΝΑ ΧΡΥΣΟΥΛΑ</t>
  </si>
  <si>
    <t>Τ819533</t>
  </si>
  <si>
    <t>ΝΤΙΝΑΠΟΓΙΑΣ ΕΥΑΓΓΕΛΟΣ</t>
  </si>
  <si>
    <t>ΑΚ919691</t>
  </si>
  <si>
    <t>ΝΤΙΝΟΠΟΥΛΟΣ ΑΘΑΝΑΣΙΟΣ</t>
  </si>
  <si>
    <t>ΑΝ847171</t>
  </si>
  <si>
    <t>ΝΤΙΝΟΠΟΥΛΟΥ ΘΕΟΔΩΡΑ</t>
  </si>
  <si>
    <t>ΑΜ888767</t>
  </si>
  <si>
    <t>ΝΤΙΝΟΥ ΔΙΟΝΥΣΙΑ</t>
  </si>
  <si>
    <t>ΑΜ312020</t>
  </si>
  <si>
    <t>ΝΤΙΝΟΥ ΕΛΕΝΗ</t>
  </si>
  <si>
    <t>ΑΙ806428</t>
  </si>
  <si>
    <t>ΝΤΙΝΟΥ ΜΑΡΙΑ</t>
  </si>
  <si>
    <t>ΑΒ668148</t>
  </si>
  <si>
    <t>ΝΤΙΡΒΑ ΑΙΚΑΤΕΡΙΝΗ</t>
  </si>
  <si>
    <t>ΑΒ422930</t>
  </si>
  <si>
    <t>ΝΤΙΣΛΗ ΙΦΙΓΕΝΕΙΑ</t>
  </si>
  <si>
    <t>ΑΕ670385</t>
  </si>
  <si>
    <t>ΝΤΟΒΑ ΒΑΣΙΛΙΚΗ</t>
  </si>
  <si>
    <t>Φ201788</t>
  </si>
  <si>
    <t>ΝΤΟΒΑ ΠΗΝΕΛΟΠΗ</t>
  </si>
  <si>
    <t>ΑΒ852743</t>
  </si>
  <si>
    <t>ΝΤΟΒΑΣ ΒΑΣΙΛΕΙΟΣ</t>
  </si>
  <si>
    <t>ΑΕ811884</t>
  </si>
  <si>
    <t>ΝΤΟΒΟΛΟΥ ΑΦΡΟΔΙΤΗ</t>
  </si>
  <si>
    <t>Σ888495</t>
  </si>
  <si>
    <t>ΝΤΟΓΚΑΣ ΠΑΝΑΓΙΩΤΗΣ</t>
  </si>
  <si>
    <t>ΑΖ271966</t>
  </si>
  <si>
    <t>ΝΤΟΚΟΥ ΕΡΡΙΚΑ</t>
  </si>
  <si>
    <t>Χ087354</t>
  </si>
  <si>
    <t>ΝΤΟΚΟΥ ΝΙΚΗ</t>
  </si>
  <si>
    <t>ΑΖ752065</t>
  </si>
  <si>
    <t>ΝΤΟΜΠΡΙΟΣ ΒΑΙΟΣ</t>
  </si>
  <si>
    <t>ΑΖ272657</t>
  </si>
  <si>
    <t>ΝΤΟΥΓΙΑΣ ΙΩΑΝΝΗΣ</t>
  </si>
  <si>
    <t>ΑΙ414270</t>
  </si>
  <si>
    <t>ΝΤΟΥΛΜΑΣ ΓΕΩΡΓΙΟΣ</t>
  </si>
  <si>
    <t>ΑΜ491896</t>
  </si>
  <si>
    <t>ΝΤΟΥΜΟΥΖΗΣ ΝΙΚΟΛΑΟΣ</t>
  </si>
  <si>
    <t>ΑΗ782877</t>
  </si>
  <si>
    <t>ΝΤΟΥΡΓΟΥΤ ΧΑΣΑΝ</t>
  </si>
  <si>
    <t>ΑΗ119278</t>
  </si>
  <si>
    <t>ΝΤΟΥΡΜΑΣ ΝΙΚΟΛΑΟΣ</t>
  </si>
  <si>
    <t>Μ579469</t>
  </si>
  <si>
    <t>ΝΤΡΑΛΛΟΥ ΖΩΗ</t>
  </si>
  <si>
    <t>ΑΖ590346</t>
  </si>
  <si>
    <t>ΝΤΡΕΛΙΑΣ ΑΡΙΣΤΕΙΔΗΣ</t>
  </si>
  <si>
    <t>ΑΗ218458</t>
  </si>
  <si>
    <t>ΝΤΡΗΣ ΣΤΑΥΡΟΣ</t>
  </si>
  <si>
    <t>Ρ331916</t>
  </si>
  <si>
    <t>ΝΤΡΟΥΒΑΣ ΛΑΖΑΡΟΣ</t>
  </si>
  <si>
    <t>Χ796974</t>
  </si>
  <si>
    <t>ΝΩΤΗΣ ΑΘΑΝΑΣΙΟΣ</t>
  </si>
  <si>
    <t>ΑΗ496087</t>
  </si>
  <si>
    <t>ΞΑΓΟΡΑΡΗ ΑΡΓΥΡΟΥΛΑ</t>
  </si>
  <si>
    <t>ΑΖ570329</t>
  </si>
  <si>
    <t xml:space="preserve">ΞΑΚΗ ΜΑΡΙΑ </t>
  </si>
  <si>
    <t>Χ740321</t>
  </si>
  <si>
    <t>ΞΑΝΘΑΚΗ ΚΑΣΙΑΝΗ</t>
  </si>
  <si>
    <t>ΑΒ279377</t>
  </si>
  <si>
    <t>ΞΑΝΘΟΠΟΥΛΟΣ ΙΩΑΝΝΗΣ</t>
  </si>
  <si>
    <t>Σ532322</t>
  </si>
  <si>
    <t>ΞΑΝΘΟΠΟΥΛΟΥ ΚΥΡΙΑΚΗ</t>
  </si>
  <si>
    <t>ΑΗ294198</t>
  </si>
  <si>
    <t>ΞΑΝΘΟΣ ΘΕΟΔΩΡΟΣ</t>
  </si>
  <si>
    <t>Ξ653482</t>
  </si>
  <si>
    <t>ΞΑΝΘΟΥΔΑΚΗ ΑΙΚΑΤΕΡΙΝΗ</t>
  </si>
  <si>
    <t>ΑΜ211904</t>
  </si>
  <si>
    <t>ΞΑΝΘΟΥΔΑΚΗΣ ΕΥΤΥΧΙΟΣ</t>
  </si>
  <si>
    <t>Χ179490</t>
  </si>
  <si>
    <t>ΞΕΝΑΚΗ ΕΙΡΗΝΗ</t>
  </si>
  <si>
    <t>Χ398715</t>
  </si>
  <si>
    <t>ΔΗΜΟΤΙΚΗ ΕΠΙΧΕΙΡΗΣΗ ΥΔΡΕΥΣΗΣ - ΑΠΟΧΕΤΕΥΣΗΣ (Δ.Ε.Υ.Α.) ΔΗΜΟΥ ΚΟΡΙΝΘΙΩΝ</t>
  </si>
  <si>
    <t>ΞΕΝΑΚΗ ΟΥΡΑΝΙΑ</t>
  </si>
  <si>
    <t>ΑΕ196721</t>
  </si>
  <si>
    <t>ΞΕΝΑΡΙΟΣ ΤΖΑΝΗΣ</t>
  </si>
  <si>
    <t>Π320535</t>
  </si>
  <si>
    <t>ΞΕΝΙΚΑΚΗΣ ΝΙΚΟΛΑΟΣ</t>
  </si>
  <si>
    <t>ΑΙ103391</t>
  </si>
  <si>
    <t>ΞΕΝΟΠΟΥΛΟΣ ΝΙΚΟΛΑΟΣ</t>
  </si>
  <si>
    <t>ΑΙ785315</t>
  </si>
  <si>
    <t>ΞΕΝΟΠΟΥΛΟΥ ΜΑΡΙΑ</t>
  </si>
  <si>
    <t>ΑΖ228108</t>
  </si>
  <si>
    <t>ΞΕΝΟΣ ΑΝΑΣΤΑΣΙΟΣ</t>
  </si>
  <si>
    <t>ΞΕΥΓΕΝΗ ΕΙΡΗΝΗ</t>
  </si>
  <si>
    <t>ΑΒ079585</t>
  </si>
  <si>
    <t>ΞΗΡΟΥ ΜΑΡΙΑ</t>
  </si>
  <si>
    <t>Ξ072858</t>
  </si>
  <si>
    <t>ΞΙΑΡΧΟΣ ΓΕΩΡΓΙΟΣ</t>
  </si>
  <si>
    <t>ΑΙ509558</t>
  </si>
  <si>
    <t>ΞΟΥΡΓΙΑ ΙΩΑΝΝΑ</t>
  </si>
  <si>
    <t>ΑΙ819964</t>
  </si>
  <si>
    <t>ΞΟΥΡΙΔΑ ΠΑΡΑΣΚΕΥΗ</t>
  </si>
  <si>
    <t>Χ707149</t>
  </si>
  <si>
    <t>ΞΥΔΑΣ ΜΙΧΑΗΛ</t>
  </si>
  <si>
    <t>ΑΚ458790</t>
  </si>
  <si>
    <t>ΞΥΔΟΥ ΑΝΑΣΤΑΣΙΑ</t>
  </si>
  <si>
    <t>ΑΖ231497</t>
  </si>
  <si>
    <t>ΞΥΛΟΥΡΗΣ ΝΙΚΟΛΑΟΣ</t>
  </si>
  <si>
    <t>ΑΕ461584</t>
  </si>
  <si>
    <t>ΞΥΝΟΠΟΥΛΟΣ ΝΙΚΟΛΑΟΣ</t>
  </si>
  <si>
    <t>ΑΚ796122</t>
  </si>
  <si>
    <t>ΞΥΠΟΛΙΑΣ ΙΩΑΝΝΗΣ</t>
  </si>
  <si>
    <t>ΑΜ304886</t>
  </si>
  <si>
    <t>ΞΥΠΟΛΥΤΟΥ ΠΑΝΑΓΙΩΤΑ</t>
  </si>
  <si>
    <t>ΑΒ231125</t>
  </si>
  <si>
    <t>ΞΥΤΑΚΗΣ ΜΙΧΑΗΛ</t>
  </si>
  <si>
    <t>ΑΖ935393</t>
  </si>
  <si>
    <t>ΞΥΦΑΝΤΑΡΑΚΗΣ ΚΑΝΑΚΗΣ</t>
  </si>
  <si>
    <t>Φ347485</t>
  </si>
  <si>
    <t>ΞΩΝΗ ΔΗΜΗΤΡΑ</t>
  </si>
  <si>
    <t>ΑΚ315503</t>
  </si>
  <si>
    <t>ΟΔΥΣΣΕΑΣ ΓΙΑΝΝΙΔΗΣ</t>
  </si>
  <si>
    <t>ΚΑΛ</t>
  </si>
  <si>
    <t>ΑΒ523145</t>
  </si>
  <si>
    <t>ΟΙΚΟΝΟΜΙΔΗ ΔΕΣΠΟΙΝΑ</t>
  </si>
  <si>
    <t>Χ203524</t>
  </si>
  <si>
    <t>ΟΙΚΟΝΟΜΙΔΟΥ ΕΛΕΝΗ</t>
  </si>
  <si>
    <t>ΑΜ257368</t>
  </si>
  <si>
    <t>ΟΙΚΟΝΟΜΙΔΟΥ ΕΛΕΥΘΕΡΙΑ</t>
  </si>
  <si>
    <t>Υ138275</t>
  </si>
  <si>
    <t>ΟΙΚΟΝΟΜΙΚΟΥ ΑΓΛΑΙΑ</t>
  </si>
  <si>
    <t>ΑΑ460096</t>
  </si>
  <si>
    <t>ΟΙΚΟΝΟΜΟΥ ΑΝΣΤΑΣΙΟΣ</t>
  </si>
  <si>
    <t>ΑΖ475386</t>
  </si>
  <si>
    <t>ΟΙΚΟΝΟΜΟΥ ΓΕΩΡΓΙΑ</t>
  </si>
  <si>
    <t>Τ396029</t>
  </si>
  <si>
    <t>ΟΙΚΟΝΟΜΟΥ ΙΩΑΝΝΗΣ</t>
  </si>
  <si>
    <t>Ξ694866</t>
  </si>
  <si>
    <t>ΟΙΚΟΝΟΜΟΥ ΜΑΡΙΑ</t>
  </si>
  <si>
    <t>Σ891561</t>
  </si>
  <si>
    <t>ΟΙΚΟΝΟΜΟΥ ΡΑΦΑΗΛ</t>
  </si>
  <si>
    <t>ΑΒ247369</t>
  </si>
  <si>
    <t>Οικονόμου Μιχαήλ</t>
  </si>
  <si>
    <t>ΑΙ425774</t>
  </si>
  <si>
    <t>ΟΙΚΟΥΤΑΣ ΜΙΧΑΗΛ</t>
  </si>
  <si>
    <t>ΑΖ454167</t>
  </si>
  <si>
    <t>ΔΗΜΟΣ ΤΗΛΟΥ</t>
  </si>
  <si>
    <t>ΟΚΤΑΠΟΤΗΣ ΧΡΗΣΤΟΣ</t>
  </si>
  <si>
    <t>ΑΕ868927</t>
  </si>
  <si>
    <t>ΟΛΓΑ ΒΛΑΧΟΥ</t>
  </si>
  <si>
    <t>ΑΙ812748</t>
  </si>
  <si>
    <t>ΟΡΚΑΣ ΧΡΥΣΟΒΑΛΑΝΤΗΣ</t>
  </si>
  <si>
    <t>Τ407099</t>
  </si>
  <si>
    <t>ΟΡΦΑΝΑΚΗΣ ΚΩΝΣΤΑΝΤΙΝΟΣ</t>
  </si>
  <si>
    <t>ΑΙ453980</t>
  </si>
  <si>
    <t>ΟΡΦΑΝΙΔΗ ΟΛΓΑ</t>
  </si>
  <si>
    <t>Χ057776</t>
  </si>
  <si>
    <t>ΟΡΦΑΝΟΣ ΠΑΝΑΓΙΩΤΗΣ</t>
  </si>
  <si>
    <t>Χ647187</t>
  </si>
  <si>
    <t>ΟΣΤΑ ΕΣΚΙΑΝ</t>
  </si>
  <si>
    <t>Χ107296</t>
  </si>
  <si>
    <t>ΟΥΡΓΑΝΤΖΟΓΛΟΥ ΙΩΑΝΝΑ</t>
  </si>
  <si>
    <t>ΑΙ348045</t>
  </si>
  <si>
    <t>ΟΥΡΔΑ ΧΡΙΣΤΙΝΑ</t>
  </si>
  <si>
    <t>ΑΙ299755</t>
  </si>
  <si>
    <t>ΟΥΡΚΕΡΟΓΛΟΥ ΜΙΧΑΗΛ-ΚΟΣΜΑΣ</t>
  </si>
  <si>
    <t>ΑΗ675563</t>
  </si>
  <si>
    <t>ΟΥΤΣΙΟΥ ΔΕΣΠΟΙΝΑ</t>
  </si>
  <si>
    <t>Φ197060</t>
  </si>
  <si>
    <t>ΟΧΑΝΕΣΙΑΝ ΝΙΚΟΛΑΟΣ</t>
  </si>
  <si>
    <t>ΑΗ514945</t>
  </si>
  <si>
    <t>ΠΑΒΕΛ ΚΩΝΣΤΑΝΤΙΝ</t>
  </si>
  <si>
    <t>ΑΖ884089</t>
  </si>
  <si>
    <t>ΠΑΓΑΝΙΑ ΒΑΣΙΛΙΚΗ</t>
  </si>
  <si>
    <t>ΑΕ247002</t>
  </si>
  <si>
    <t>ΠΑΓΑΝΟΠΟΥΛΟΣ ΑΝΑΣΤΑΣΙΟΣ</t>
  </si>
  <si>
    <t>ΑΚ534631</t>
  </si>
  <si>
    <t>ΠΑΓΩΝΑ ΛΑΜΠΡΙΝΗ</t>
  </si>
  <si>
    <t>Ξ691328</t>
  </si>
  <si>
    <t>ΠΑΓΩΝΑΚΗ ΕΙΡΗΝΗ</t>
  </si>
  <si>
    <t>ΑΜ963503</t>
  </si>
  <si>
    <t>ΠΑΓΩΝΗ ΜΑΡΚΕΛΛΑ</t>
  </si>
  <si>
    <t>Φ133695</t>
  </si>
  <si>
    <t>ΠΑΖΑΙΤΗΣ ΑΡΙΣΤΕΙΔΗΣ</t>
  </si>
  <si>
    <t>ΑΚ988901</t>
  </si>
  <si>
    <t>ΠΑΖΙΟΥ ΠΑΝΩΡΑΙΑ</t>
  </si>
  <si>
    <t>Ξ999515</t>
  </si>
  <si>
    <t>ΠΑΙΖΑΝΟΥ ΠΟΛΥΞΕΝΗ ΑΝΤΙΓΟΝΗ</t>
  </si>
  <si>
    <t>ΑΗ119111</t>
  </si>
  <si>
    <t>ΠΑΙΡΑΖΙΔΟΥ ΦΕΝΙΑ</t>
  </si>
  <si>
    <t>ΑΚ253342</t>
  </si>
  <si>
    <t>ΠΑΚΟΣ ΧΑΡΑΛΑΜΠΟΣ</t>
  </si>
  <si>
    <t>ΑΚ390122</t>
  </si>
  <si>
    <t>ΠΑΚΟΥ ΑΜΑΛΙΑ</t>
  </si>
  <si>
    <t>Σ485692</t>
  </si>
  <si>
    <t>ΠΑΛΑΙΟΛΟΓΟΥ ΕΛΕΝΗ</t>
  </si>
  <si>
    <t>Φ371107</t>
  </si>
  <si>
    <t>ΠΑΛΑΙΣΤΙΔΟΥ ΝΑΤΑΛΙΑ</t>
  </si>
  <si>
    <t>ΑΒ223925</t>
  </si>
  <si>
    <t>ΠΑΛΑΝΤΖΙΔΗΣ ΣΑΒΒΑΣ</t>
  </si>
  <si>
    <t>ΑΕ660896</t>
  </si>
  <si>
    <t>ΠΑΛΑΤΙΑΝΟΣ ΕΜΜΑΝΟΥΗΛ</t>
  </si>
  <si>
    <t>ΥΠΑ</t>
  </si>
  <si>
    <t>ΑΕ440532</t>
  </si>
  <si>
    <t>ΠΑΛΑΤΙΑΝΟΣ ΥΠΑΤΙΟΣ</t>
  </si>
  <si>
    <t>ΑΙ421608</t>
  </si>
  <si>
    <t>ΠΑΛΕΝΤΖΑΣ ΙΩΑΝΝΗΣ</t>
  </si>
  <si>
    <t>ΑΕ678769</t>
  </si>
  <si>
    <t>ΠΑΛΗΟΥ ΕΜΜΑΝΟΥΗΛΙΑ</t>
  </si>
  <si>
    <t>ΑΖ810365</t>
  </si>
  <si>
    <t>ΠΑΛΗΤΖΗΚΑΣ ΔΗΜΗΤΡΙΟΣ</t>
  </si>
  <si>
    <t>ΑΚ534501</t>
  </si>
  <si>
    <t xml:space="preserve">ΠΑΛΙΑΝΤΗΣ ΙΩΑΝΝΗΣ </t>
  </si>
  <si>
    <t>ΑΕ570966</t>
  </si>
  <si>
    <t>ΠΑΛΙΟΥΡΑ ΕΛΙΣΣΑΒΕΤ</t>
  </si>
  <si>
    <t>Χ693917</t>
  </si>
  <si>
    <t>ΠΑΛΛΑ ΣΟΦΙΑ</t>
  </si>
  <si>
    <t>Ξ415766</t>
  </si>
  <si>
    <t>ΠΑΛΛΑΣ ΔΗΜΗΤΡΙΟΣ</t>
  </si>
  <si>
    <t>ΑΙ870752</t>
  </si>
  <si>
    <t>ΠΑΛΛΗ ΑΙΚΑΤΕΡΙΝΗ</t>
  </si>
  <si>
    <t>Π665722</t>
  </si>
  <si>
    <t>ΠΑΛΛΗΣ ΔΗΜΗΤΡΙΟΣ</t>
  </si>
  <si>
    <t>ΑΖ985680</t>
  </si>
  <si>
    <t>ΠΑΛΛΗΣ ΝΙΚΟΛΑΟΣ</t>
  </si>
  <si>
    <t>ΑΗ486398</t>
  </si>
  <si>
    <t>ΠΑΛΟΥΚΗΣ ΠΑΝΤΕΛΗΣ</t>
  </si>
  <si>
    <t>ΑΙ681333</t>
  </si>
  <si>
    <t>ΠΑΛΟΥΣΗ ΠΑΣΧΑΛΙΑ</t>
  </si>
  <si>
    <t>ΑΚ948069</t>
  </si>
  <si>
    <t>ΠΑΜΠΟΥΚΙΔΟΥ ΕΙΡΗΝΗ</t>
  </si>
  <si>
    <t>ΑΝ385001</t>
  </si>
  <si>
    <t>ΠΑΝΑΓΙΩΤΑ ΠΡΑΣΣΑ</t>
  </si>
  <si>
    <t>Ρ775847</t>
  </si>
  <si>
    <t>ΠΑΝΑΓΙΩΤΑΚΗ ΜΑΡΙΑ - ΕΥΤΕΡΠΗ</t>
  </si>
  <si>
    <t>ΑΙ449830</t>
  </si>
  <si>
    <t>ΠΑΝΑΓΙΩΤΕΛΙΔΗΣ ΙΩΑΝΝΗΣ</t>
  </si>
  <si>
    <t>ΑΜ864027</t>
  </si>
  <si>
    <t>ΠΑΝΑΓΙΩΤΗΣ ΜΑΡΓΩΝΗΣ</t>
  </si>
  <si>
    <t>ΑΙ998751</t>
  </si>
  <si>
    <t>ΠΑΝΑΓΙΩΤΙΔΗΣ ΑΒΡΑΑΜ</t>
  </si>
  <si>
    <t>Χ431555</t>
  </si>
  <si>
    <t>ΠΑΝΑΓΙΩΤΙΔΗΣ ΚΟΝΣΤΑΝΤΙΝΟΣ</t>
  </si>
  <si>
    <t>ΑΕ202930</t>
  </si>
  <si>
    <t>ΠΑΝΑΓΙΩΤΙΔΗΣ ΚΩΝΣΤΑΝΤΙΝΟΣ</t>
  </si>
  <si>
    <t>ΑΗ290762</t>
  </si>
  <si>
    <t>ΠΑΝΑΓΙΩΤΙΔΟΥ ΔΕΣΠΟΙΝΑ</t>
  </si>
  <si>
    <t>ΑΕ382476</t>
  </si>
  <si>
    <t>ΠΑΝΑΓΙΩΤΙΔΟΥ ΕΛΕΝΗ</t>
  </si>
  <si>
    <t>Π800952</t>
  </si>
  <si>
    <t>ΠΑΝΑΓΙΩΤΙΔΟΥ ΕΛΠΙΔΑ</t>
  </si>
  <si>
    <t>Τ802718</t>
  </si>
  <si>
    <t>ΠΑΝΑΓΙΩΤΙΔΟΥ ΠΑΡΘΕΝΑ</t>
  </si>
  <si>
    <t>ΑΕ336217</t>
  </si>
  <si>
    <t>ΠΑΝΑΓΙΩΤΟΠΟΥΛΟΣ ΑΝΔΡΕΑΣ</t>
  </si>
  <si>
    <t>ΑΚ696005</t>
  </si>
  <si>
    <t>ΠΑΝΑΓΙΩΤΟΠΟΥΛΟΣ ΓΕΩΡΓΙΟΣ</t>
  </si>
  <si>
    <t>ΑΚ334314</t>
  </si>
  <si>
    <t>ΠΑΝΑΓΙΩΤΟΠΟΥΛΟΣ ΕΜΜΑΝΟΥΗΛ</t>
  </si>
  <si>
    <t>ΑΕ703968</t>
  </si>
  <si>
    <t>ΠΑΝΑΓΙΩΤΟΠΟΥΛΟΣ ΠΕΤΡΟΣ</t>
  </si>
  <si>
    <t>Χ009277</t>
  </si>
  <si>
    <t>ΠΑΝΑΓΙΩΤΟΠΟΥΛΟΥ ΔΕΣΠΟΙΝΑ</t>
  </si>
  <si>
    <t>ΑΗ122003</t>
  </si>
  <si>
    <t>ΠΑΝΑΓΙΩΤΟΠΟΥΛΟΥ ΕΙΡΗΝΗ</t>
  </si>
  <si>
    <t>Σ811037</t>
  </si>
  <si>
    <t>ΠΑΝΑΓΙΩΤΟΠΟΥΛΟΥ ΘΕΟΔΩΡΑ</t>
  </si>
  <si>
    <t>Σ651984</t>
  </si>
  <si>
    <t>ΠΑΝΑΓΙΩΤΟΠΟΥΛΟΥ ΚΑΛΛΙΟΠΗ</t>
  </si>
  <si>
    <t>ΑΗ026769</t>
  </si>
  <si>
    <t>ΠΑΝΑΓΙΩΤΟΠΟΥΛΟΥ ΜΑΡΙΑ</t>
  </si>
  <si>
    <t>ΑΖ721279</t>
  </si>
  <si>
    <t>ΠΑΝΑΓΙΩΤΟΠΟΥΛΟΥ ΜΑΡΚΕΛΛΑ</t>
  </si>
  <si>
    <t>ΑΙ791174</t>
  </si>
  <si>
    <t>ΠΑΝΑΓΙΩΤΟΠΟΥΛΟΥ ΠΟΠΗ</t>
  </si>
  <si>
    <t>ΑΑ360300</t>
  </si>
  <si>
    <t>ΠΑΝΑΓΙΩΤΟΥ ΑΓΓΕΛΟΣ</t>
  </si>
  <si>
    <t>ΑΙ728938</t>
  </si>
  <si>
    <t>ΠΑΝΑΓΙΩΤΟΥ ΕΥΑΓΓΕΛΙΑ</t>
  </si>
  <si>
    <t>ΑΜ308221</t>
  </si>
  <si>
    <t>ΑΚ200138</t>
  </si>
  <si>
    <t>ΠΑΝΑΓΙΩΤΟΥ ΙΩΑΝΝΑ</t>
  </si>
  <si>
    <t>Φ356109</t>
  </si>
  <si>
    <t>ΠΑΝΑΓΙΩΤΟΥ ΚΩΝΣΤΑΝΤΙΝΟΣ</t>
  </si>
  <si>
    <t>ΑΖ483779</t>
  </si>
  <si>
    <t>Σ804456</t>
  </si>
  <si>
    <t>ΠΑΝΑΓΚΑΣΙΔΗ ΑΝΝΑ</t>
  </si>
  <si>
    <t>ΑΙ971022</t>
  </si>
  <si>
    <t>ΠΑΝΑΓΟΠΟΥΛΟΣ ΑΝΑΣΤΑΣΙΟΣ</t>
  </si>
  <si>
    <t>Φ083558</t>
  </si>
  <si>
    <t>ΠΑΝΑΓΟΠΟΥΛΟΣ ΚΩΝΣΤΑΝΤΙΝΟΣ</t>
  </si>
  <si>
    <t>Φ305820</t>
  </si>
  <si>
    <t>ΠΑΝΑΓΟΠΟΥΛΟΣ ΝΙΚΟΛΑΟΣ</t>
  </si>
  <si>
    <t>ΑΝ250869</t>
  </si>
  <si>
    <t>ΠΑΝΑΓΟΠΟΥΛΟΥ ΑΘΑΝΑΣΙΑ</t>
  </si>
  <si>
    <t>Λ084893</t>
  </si>
  <si>
    <t>ΠΑΝΑΓΟΠΟΥΛΟΥ ΑΘΗΝΑ</t>
  </si>
  <si>
    <t>Λ695068</t>
  </si>
  <si>
    <t>ΠΑΝΑΓΟΠΟΥΛΟΥ ΓΕΩΡΓΙΑ</t>
  </si>
  <si>
    <t>ΑΖ035219</t>
  </si>
  <si>
    <t>Φ305078</t>
  </si>
  <si>
    <t>ΠΑΝΑΓΟΠΟΥΛΟΥ ΠΑΝΑΓΙΩΤΑ</t>
  </si>
  <si>
    <t>ΑΗ940532</t>
  </si>
  <si>
    <t>ΠΑΝΑΓΟΣ ΓΕΩΡΓΙΟΣ</t>
  </si>
  <si>
    <t>ΑΖ144068</t>
  </si>
  <si>
    <t>ΠΑΝΑΓΟΥΛΙΑ ΑΙΚΑΤΕΡΙΝΗ</t>
  </si>
  <si>
    <t>Χ287822</t>
  </si>
  <si>
    <t>ΠΑΝΑΓΟΥΛΙΑΣ ΑΝΤΩΝΙΟΣ</t>
  </si>
  <si>
    <t>Ρ779740</t>
  </si>
  <si>
    <t>ΠΑΝΑΓΟΥΛΙΑΣ ΚΩΝΣΤΑΝΤΙΝΟΣ</t>
  </si>
  <si>
    <t>Χ792973</t>
  </si>
  <si>
    <t>ΠΑΝΑΗΛΙΔΗΣ ΔΗΜΗΤΡΙΟΣ</t>
  </si>
  <si>
    <t>ΑΖ799770</t>
  </si>
  <si>
    <t>ΠΑΝΑΡΕΤΟΣ ΙΩΑΝΝΗΣ</t>
  </si>
  <si>
    <t>Φ271627</t>
  </si>
  <si>
    <t>ΠΑΝΑΡΕΤΟΥ ΑΝΔΡΟΜΑΧΗ ΑΛΕΞΑΝΔΡΑ</t>
  </si>
  <si>
    <t>ΑΒ095409</t>
  </si>
  <si>
    <t>ΠΑΝΔΗ ΣΩΣΣΑΝΑ</t>
  </si>
  <si>
    <t>Χ384436</t>
  </si>
  <si>
    <t>ΠΑΝΗ ΙΩΑΝΝΑ</t>
  </si>
  <si>
    <t>Λ524504</t>
  </si>
  <si>
    <t>ΠΑΝΙΕΡΑΚΗ ΑΓΑΠΗ</t>
  </si>
  <si>
    <t>Τ904947</t>
  </si>
  <si>
    <t>ΠΑΝΟΠΟΥΛΟΣ ΒΑΓΓΕΛΗΣ</t>
  </si>
  <si>
    <t>Χ270032</t>
  </si>
  <si>
    <t>ΠΑΝΟΠΟΥΛΟΥ ΕΛΕΝΗ</t>
  </si>
  <si>
    <t>Τ240981</t>
  </si>
  <si>
    <t>ΠΑΝΟΠΟΥΛΟΥ ΧΡΥΣΟΒΑΛΑΝΤΩ</t>
  </si>
  <si>
    <t>ΜΑΝ</t>
  </si>
  <si>
    <t>ΑΖ550510</t>
  </si>
  <si>
    <t>ΠΑΝΟΥ ΠΑΡΑΣΚΕΥΗ</t>
  </si>
  <si>
    <t>Χ926664</t>
  </si>
  <si>
    <t>ΠΑΝΟΥΚΛΙΑΣ ΚΩΝΣΤΑΝΤΙΝΟΣ</t>
  </si>
  <si>
    <t>ΑΚ110674</t>
  </si>
  <si>
    <t>ΠΑΝΟΥΣΑΚΗ ΑΣΗΜΙΝΑ</t>
  </si>
  <si>
    <t>Ρ606087</t>
  </si>
  <si>
    <t>ΠΑΝΟΥΣΗΣ ΙΩΑΝΝΗΣ</t>
  </si>
  <si>
    <t>ΑΙ234503</t>
  </si>
  <si>
    <t>ΠΑΝΟΥΤΣΟΠΟΥΛΟΣ ΗΛΙΑΣ</t>
  </si>
  <si>
    <t>ΑΒ300233</t>
  </si>
  <si>
    <t>ΠΑΝΟΥΤΣΟΥ ΧΡΥΣΟΥΛΑ</t>
  </si>
  <si>
    <t>Σ542846</t>
  </si>
  <si>
    <t>ΠΑΝΤΑ ΑΦΡΟΔΙΤΗ</t>
  </si>
  <si>
    <t>Φ051434</t>
  </si>
  <si>
    <t>ΠΑΝΤΑΖΟΠΟΥΛΟΥ ΑΡΤΕΜΗΣΙΑ</t>
  </si>
  <si>
    <t>Τ123631</t>
  </si>
  <si>
    <t>ΠΑΝΤΑΖΟΠΟΥΛΟΥ ΒΑΡΒΑΡΑ</t>
  </si>
  <si>
    <t>Σ641913</t>
  </si>
  <si>
    <t>ΠΑΝΤΑΖΟΠΟΥΛΟΥ ΚΩΝΣΤΑΝΤΙΝΑ</t>
  </si>
  <si>
    <t>Χ094595</t>
  </si>
  <si>
    <t>ΠΑΝΤΑΡΩΤΑΣ ΝΙΚΟΛΑΟΣ</t>
  </si>
  <si>
    <t>ΑΙ933503</t>
  </si>
  <si>
    <t>ΠΑΝΤΑΣ ΝΙΚΟΛΑΟΣ</t>
  </si>
  <si>
    <t>ΑΕ247875</t>
  </si>
  <si>
    <t>ΠΑΝΤΕΛΑΙΟΣ ΜΑΡΚΟΣ</t>
  </si>
  <si>
    <t>Ρ490438</t>
  </si>
  <si>
    <t>ΠΑΝΤΕΛΕΑΚΗ ΜΑΡΙΑ</t>
  </si>
  <si>
    <t>ΑΗ329163</t>
  </si>
  <si>
    <t>ΠΑΝΤΕΛΕΑΚΟΣ ΝΙΚΟΛΑΟΣ</t>
  </si>
  <si>
    <t>ΑΖ236069</t>
  </si>
  <si>
    <t>ΠΑΝΤΕΛΙΔΗ ΜΑΡΙΑ</t>
  </si>
  <si>
    <t>Φ052136</t>
  </si>
  <si>
    <t>ΠΑΝΤΕΛΙΔΗΣ ΧΑΡΑΛΑΜΠΟΣ</t>
  </si>
  <si>
    <t>ΑΙ027506</t>
  </si>
  <si>
    <t>ΠΑΝΤΕΛΙΔΟΥ ΟΛΓΑ</t>
  </si>
  <si>
    <t>Π670123</t>
  </si>
  <si>
    <t>ΠΑΝΤΕΛΙΟΣ ΕΜΜΑΝΟΥΗΛ</t>
  </si>
  <si>
    <t>Σ392684</t>
  </si>
  <si>
    <t>ΠΑΝΤΕΛΟΓΙΑΝΝΗ ΕΙΡΗΝΗ</t>
  </si>
  <si>
    <t>ΑΗ933189</t>
  </si>
  <si>
    <t>ΠΑΝΤΕΧΑΚΗ ΕΜΜΑΝΟΥΕΛΑ</t>
  </si>
  <si>
    <t>ΑΒ956733</t>
  </si>
  <si>
    <t>ΠΑΝΤΖΑΛΗ ΙΩΑΝΝΑ</t>
  </si>
  <si>
    <t>ΑΙ604188</t>
  </si>
  <si>
    <t>ΠΑΝΤΖΟΥ ΟΛΓΑ</t>
  </si>
  <si>
    <t>Σ907755</t>
  </si>
  <si>
    <t>ΠΑΝΤΙΩΡΑΣ ΔΗΜΗΤΡΙΟΣ</t>
  </si>
  <si>
    <t>ΑΑ099054</t>
  </si>
  <si>
    <t>ΠΑΝΤΟΠΟΥΛΟΣ ΕΜΜΑΝΟΥΗΛ</t>
  </si>
  <si>
    <t>Ρ113030</t>
  </si>
  <si>
    <t>Πανωλη Ελενη</t>
  </si>
  <si>
    <t>ΑΕ841779</t>
  </si>
  <si>
    <t>ΠΑΝΩΤΑΣ ΘΕΟΦΙΛΟΣ</t>
  </si>
  <si>
    <t>ΑΗ865862</t>
  </si>
  <si>
    <t>ΠΑΟΥΡΗΣ ΑΝΑΣΤΑΣΙΟΣ</t>
  </si>
  <si>
    <t>ΑΝ141824</t>
  </si>
  <si>
    <t>ΠΑΠΑ ΜΑΡΙΑ</t>
  </si>
  <si>
    <t>Χ484567</t>
  </si>
  <si>
    <t>ΠΑΠΑΒΡΑΜΟΠΟΥΛΟΣ ΔΗΜΗΤΡΙΟΣ</t>
  </si>
  <si>
    <t>ΑΝ802993</t>
  </si>
  <si>
    <t>ΠΑΠΑΓΓΕΛΗ ΜΑΡΙΑ</t>
  </si>
  <si>
    <t>ΑΝ243145</t>
  </si>
  <si>
    <t>ΠΑΠΑΓΕΩΡΓΙΟΥ ΑΝΤΩΝΙΟΣ</t>
  </si>
  <si>
    <t>ΑΚ989136</t>
  </si>
  <si>
    <t>ΠΑΠΑΓΕΩΡΓΙΟΥ ΒΑΣΙΛΙΚΗ</t>
  </si>
  <si>
    <t>Π258536</t>
  </si>
  <si>
    <t>ΠΑΠΑΓΕΩΡΓΙΟΥ ΓΕΩΡΓΙΟΣ</t>
  </si>
  <si>
    <t>ΑΒ780070</t>
  </si>
  <si>
    <t>ΠΑΠΑΓΕΩΡΓΙΟΥ ΕΥΑΓΓΕΛΟΣ</t>
  </si>
  <si>
    <t>Π616612</t>
  </si>
  <si>
    <t>ΠΑΠΑΓΕΩΡΓΙΟΥ ΜΑΡΙΑ</t>
  </si>
  <si>
    <t>Ρ948195</t>
  </si>
  <si>
    <t>ΠΑΠΑΓΕΩΡΓΙΟΥ ΝΙΚΟΛΑΟΣ</t>
  </si>
  <si>
    <t>ΑΒ555072</t>
  </si>
  <si>
    <t>ΠΑΠΑΓΕΩΡΓΙΟΥ ΦΩΤΕΙΝ</t>
  </si>
  <si>
    <t>Φ197319</t>
  </si>
  <si>
    <t>Παπαγεωργίου Πέτρος</t>
  </si>
  <si>
    <t>ΑΒ443635</t>
  </si>
  <si>
    <t>ΠΑΠΑΓΙΑΝΝΗ ΕΛΕΥΘΕΡΙΑ</t>
  </si>
  <si>
    <t>Χ992290</t>
  </si>
  <si>
    <t>ΠΑΠΑΓΙΑΝΝΗ ΣΤΑΜΟΥΛΑ</t>
  </si>
  <si>
    <t>ΑΗ715678</t>
  </si>
  <si>
    <t>ΠΑΠΑΓΙΑΝΝΗΣ ΑΠΟΣΤΟΛΟΣ</t>
  </si>
  <si>
    <t>ΑΚ842722</t>
  </si>
  <si>
    <t>ΠΑΠΑΓΙΑΝΝΗΣ ΣΩΚΡΑΤΗΣ</t>
  </si>
  <si>
    <t>ΑΖ428392</t>
  </si>
  <si>
    <t>ΠΑΠΑΓΙΑΝΝΟΠΟΥΛΟΣ ΚΩΝΣΤΑΝΤΙΝΟΣ</t>
  </si>
  <si>
    <t>Σ007799</t>
  </si>
  <si>
    <t>ΠΑΠΑΓΙΑΝΝΟΠΟΥΛΟΥ ΕΥΑΓΓΕΛΙΑ</t>
  </si>
  <si>
    <t>Χ907897</t>
  </si>
  <si>
    <t>ΠΑΠΑΓΡΗΓΟΡΙΟΥ ΑΝΟΙΞΟΥΛΑ</t>
  </si>
  <si>
    <t>ΑΝ214768</t>
  </si>
  <si>
    <t>ΠΑΠΑΔΑΚΗ ΔΗΜΗΤΡΑ</t>
  </si>
  <si>
    <t>ΑΒ957787</t>
  </si>
  <si>
    <t>ΠΑΠΑΔΑΚΗ ΝΑΤΑΛΙΑ</t>
  </si>
  <si>
    <t>ΑΑ435159</t>
  </si>
  <si>
    <t>ΠΑΠΑΔΑΚΗΣ ΓΙΩΡΓΟΣ</t>
  </si>
  <si>
    <t>ΕΛΠ</t>
  </si>
  <si>
    <t>ΑΒ967581</t>
  </si>
  <si>
    <t>ΠΑΠΑΔΑΚΗΣ ΛΑΜΠΡΟΣ</t>
  </si>
  <si>
    <t>ΑΗ970215</t>
  </si>
  <si>
    <t>ΠΑΠΑΔΑΚΗΣ ΧΡΥΣΟΒΑΛΑΝΤΗΣ</t>
  </si>
  <si>
    <t>ΑΗ464700</t>
  </si>
  <si>
    <t>ΠΑΠΑΔΑΤΟΥ ΑΙΚΑΤΕΡΙΝΗ</t>
  </si>
  <si>
    <t>ΑΜ040717</t>
  </si>
  <si>
    <t>ΠΑΠΑΔΑΤΟΥ ΔΕΣΠΟΙΝΑ</t>
  </si>
  <si>
    <t>ΑΒ238881</t>
  </si>
  <si>
    <t>ΠΑΠΑΔΗΜΗΤΡΑΚΟΠΟΥΛΟΥ ΒΑΣΙΛΙΚΗ</t>
  </si>
  <si>
    <t>Τ862344</t>
  </si>
  <si>
    <t>ΠΑΠΑΔΗΜΗΤΡΙΟΥ ΑΘΗΝΑ</t>
  </si>
  <si>
    <t>ΑΙ733186</t>
  </si>
  <si>
    <t>ΠΑΠΑΔΗΜΗΤΡΙΟΥ ΔΗΜΗΤΡΙΟΣ</t>
  </si>
  <si>
    <t>Ξ893730</t>
  </si>
  <si>
    <t>ΠΑΠΑΔΗΜΗΤΡΙΟΥ ΔΙΟΝΥΣΙA</t>
  </si>
  <si>
    <t>ΑΜ316428</t>
  </si>
  <si>
    <t>ΠΑΠΑΔΗΜΗΤΡΙΟΥ ΕΛΕΝΗ</t>
  </si>
  <si>
    <t>ΑΗ622129</t>
  </si>
  <si>
    <t>ΠΑΠΑΔΗΜΗΤΡΙΟΥ ΧΡΥΣΟΒΑΛΑΝΤΩ</t>
  </si>
  <si>
    <t>Ρ889405</t>
  </si>
  <si>
    <t>ΠΑΠΑΔΗΜΟΣ ΠΕΤΡΟΣ</t>
  </si>
  <si>
    <t>ΑΖ499211</t>
  </si>
  <si>
    <t>ΠΑΠΑΔΗΜΟΥ ΜΑΡΙΑ</t>
  </si>
  <si>
    <t>Φ239396</t>
  </si>
  <si>
    <t>Χ835609</t>
  </si>
  <si>
    <t>ΠΑΠΑΔΗΜΟΥ ΠΟΛΥΤΙΜΗ</t>
  </si>
  <si>
    <t>Π147955</t>
  </si>
  <si>
    <t>ΠΑΠΑΔΙΩΤΗ ΒΑΣΙΛΙΚΗ</t>
  </si>
  <si>
    <t>ΑΖ246989</t>
  </si>
  <si>
    <t>ΠΑΠΑΔΟΠΟΥΛΟΣ ΑΛΕΞΗΣ</t>
  </si>
  <si>
    <t>ΑΒ608465</t>
  </si>
  <si>
    <t>ΠΑΠΑΔΟΠΟΥΛΟΣ ΑΝΑΣΤΑΣΙΟΣ</t>
  </si>
  <si>
    <t>ΑΒ918094</t>
  </si>
  <si>
    <t>ΠΑΠΑΔΟΠΟΥΛΟΣ ΑΝΔΡΕΑΣ</t>
  </si>
  <si>
    <t>ΑΗ711615</t>
  </si>
  <si>
    <t>ΠΑΠΑΔΟΠΟΥΛΟΣ ΑΝΕΣΤΗΣ</t>
  </si>
  <si>
    <t>Κ561270</t>
  </si>
  <si>
    <t>ΠΑΠΑΔΟΠΟΥΛΟΣ ΒΑΣΙΛΕΙΟΣ</t>
  </si>
  <si>
    <t>Χ955070</t>
  </si>
  <si>
    <t>ΑΒ715781</t>
  </si>
  <si>
    <t>ΠΑΠΑΔΟΠΟΥΛΟΣ ΓΕΩΡΓΙΟΣ</t>
  </si>
  <si>
    <t>ΑΝ067302</t>
  </si>
  <si>
    <t>Ξ555683</t>
  </si>
  <si>
    <t>ΠΑΠΑΔΟΠΟΥΛΟΣ ΕΥΑΓΓΕΛΟΣ</t>
  </si>
  <si>
    <t>ΑΒ582067</t>
  </si>
  <si>
    <t>ΠΑΠΑΔΟΠΟΥΛΟΣ ΕΥΘΥΜΙΟΣ</t>
  </si>
  <si>
    <t>ΑΚ990069</t>
  </si>
  <si>
    <t>ΑΜ290562</t>
  </si>
  <si>
    <t xml:space="preserve">ΠΑΠΑΔΟΠΟΥΛΟΣ ΗΛΙΑΣ </t>
  </si>
  <si>
    <t>ΑΖ402540</t>
  </si>
  <si>
    <t>ΠΑΠΑΔΟΠΟΥΛΟΣ ΙΩΑΝΝΗΣ</t>
  </si>
  <si>
    <t>ΑΕ001462</t>
  </si>
  <si>
    <t>ΑΙ621828</t>
  </si>
  <si>
    <t>Χ887290</t>
  </si>
  <si>
    <t>ΑΕ906681</t>
  </si>
  <si>
    <t>ΠΑΠΑΔΟΠΟΥΛΟΣ ΚΩΝΣΤΑΝΤΙΝΟΣ</t>
  </si>
  <si>
    <t>ΑΗ185989</t>
  </si>
  <si>
    <t>ΠΑΠΑΔΟΠΟΥΛΟΣ ΜΕΡΑΜΠ</t>
  </si>
  <si>
    <t>ΑΚ314713</t>
  </si>
  <si>
    <t>ΠΑΠΑΔΟΠΟΥΛΟΣ ΝΕΚΤΑΡΙΟΣ</t>
  </si>
  <si>
    <t>Χ644429</t>
  </si>
  <si>
    <t>ΠΑΠΑΔΟΠΟΥΛΟΣ ΟΔΥΣΣΕΑΣ</t>
  </si>
  <si>
    <t>ΑΝ114572</t>
  </si>
  <si>
    <t>ΠΑΠΑΔΟΠΟΥΛΟΣ ΦΩΤΙΟΣ</t>
  </si>
  <si>
    <t>ΑΖ457691</t>
  </si>
  <si>
    <t>ΠΑΠΑΔΟΠΟΥΛΟΣ ΧΡΗΣΤΟΣ</t>
  </si>
  <si>
    <t>Υ178787</t>
  </si>
  <si>
    <t>ΑΗ658209</t>
  </si>
  <si>
    <t>ΠΑΠΑΔΟΠΟΥΛΟΥ ΑΓΓΕΛΙΚΗ</t>
  </si>
  <si>
    <t>Ξ656219</t>
  </si>
  <si>
    <t>ΠΑΠΑΔΟΠΟΥΛΟΥ ΑΘΑΝΑΣΙΑ</t>
  </si>
  <si>
    <t>ΑΖ306612</t>
  </si>
  <si>
    <t>ΠΑΠΑΔΟΠΟΥΛΟΥ ΑΙΚΑΤΕΡΙΝΗ</t>
  </si>
  <si>
    <t>Χ798416</t>
  </si>
  <si>
    <t>ΑΕ753470</t>
  </si>
  <si>
    <t>ΑΒ131043</t>
  </si>
  <si>
    <t>ΠΑΠΑΔΟΠΟΥΛΟΥ ΑΝΑΣΤΑΣΙΑ</t>
  </si>
  <si>
    <t>ΑΚ874358</t>
  </si>
  <si>
    <t>Ρ663610</t>
  </si>
  <si>
    <t>ΠΑΠΑΔΟΠΟΥΛΟΥ ΑΠΟΣΤΟΛΙΑ</t>
  </si>
  <si>
    <t>Φ333547</t>
  </si>
  <si>
    <t>ΠΑΠΑΔΟΠΟΥΛΟΥ ΑΡΓΥΡΩ</t>
  </si>
  <si>
    <t>Σ056341</t>
  </si>
  <si>
    <t>ΠΑΠΑΔΟΠΟΥΛΟΥ ΑΡΙΣΤΕΑ</t>
  </si>
  <si>
    <t>Σ743816</t>
  </si>
  <si>
    <t>ΠΑΠΑΔΟΠΟΥΛΟΥ ΒΑΣΙΛΙΚΗ</t>
  </si>
  <si>
    <t>Χ394177</t>
  </si>
  <si>
    <t>ΠΑΠΑΔΟΠΟΥΛΟΥ ΓΕΩΡΓΙΑ</t>
  </si>
  <si>
    <t>ΑΚ893220</t>
  </si>
  <si>
    <t>ΑΗ579439</t>
  </si>
  <si>
    <t>ΑΗ395233</t>
  </si>
  <si>
    <t xml:space="preserve">ΠΑΠΑΔΟΠΟΥΛΟΥ ΓΙΑΝΝΟΥΛΑ </t>
  </si>
  <si>
    <t>ΑΕ864640</t>
  </si>
  <si>
    <t>ΠΑΠΑΔΟΠΟΥΛΟΥ ΔΕΣΠΟΙΝΑ</t>
  </si>
  <si>
    <t>Τ812206</t>
  </si>
  <si>
    <t>Π244709</t>
  </si>
  <si>
    <t>ΑΒ365308</t>
  </si>
  <si>
    <t>ΠΑΠΑΔΟΠΟΥΛΟΥ ΔΙΑΜΑΝΤΩ</t>
  </si>
  <si>
    <t>Φ064734</t>
  </si>
  <si>
    <t>ΠΑΠΑΔΟΠΟΥΛΟΥ ΕΛΕΝΗ</t>
  </si>
  <si>
    <t>Σ571516</t>
  </si>
  <si>
    <t>ΑΙ730665</t>
  </si>
  <si>
    <t>ΠΑΠΑΔΟΠΟΥΛΟΥ ΕΜΜΑΝΟΥΕΛΑ</t>
  </si>
  <si>
    <t>ΑΚ265411</t>
  </si>
  <si>
    <t>ΠΑΠΑΔΟΠΟΥΛΟΥ ΕΥΘΥΜΙΑ</t>
  </si>
  <si>
    <t>ΑΕ905967</t>
  </si>
  <si>
    <t>ΠΑΠΑΔΟΠΟΥΛΟΥ ΚΛΕΟΠΑΤΡΑ</t>
  </si>
  <si>
    <t>Χ124317</t>
  </si>
  <si>
    <t>ΠΑΠΑΔΟΠΟΥΛΟΥ ΛΟΥΙΖΑ</t>
  </si>
  <si>
    <t>ΑΙ074198</t>
  </si>
  <si>
    <t>ΠΑΠΑΔΟΠΟΥΛΟΥ ΜΑΡΙΑ</t>
  </si>
  <si>
    <t>ΑΒ735570</t>
  </si>
  <si>
    <t>ΑΗ316379</t>
  </si>
  <si>
    <t>ΑΜ290366</t>
  </si>
  <si>
    <t>ΠΑΠΑΔΟΠΟΥΛΟΥ ΝΙΚΟΛΕΤΑ</t>
  </si>
  <si>
    <t>ΑΒ120095</t>
  </si>
  <si>
    <t>ΠΑΠΑΔΟΠΟΥΛΟΥ ΟΛΓΑ</t>
  </si>
  <si>
    <t>ΑΗ 765854</t>
  </si>
  <si>
    <t>ΠΑΠΑΔΟΠΟΥΛΟΥ ΟΥΡΑΝΙΑ</t>
  </si>
  <si>
    <t>Ξ607593</t>
  </si>
  <si>
    <t>ΠΑΠΑΔΟΠΟΥΛΟΥ ΣΙΜΕΛΑ</t>
  </si>
  <si>
    <t>ΑΖ046445</t>
  </si>
  <si>
    <t>ΠΑΠΑΔΟΠΟΥΛΟΥ ΣΟΦΙΑ</t>
  </si>
  <si>
    <t>ΑΚ823919</t>
  </si>
  <si>
    <t>Π805251</t>
  </si>
  <si>
    <t>ΑΖ628829</t>
  </si>
  <si>
    <t>Χ262205</t>
  </si>
  <si>
    <t>ΠΑΠΑΔΟΥΛΗΣ ΕΜΜΑΝΟΥΗΛ</t>
  </si>
  <si>
    <t>Κ990798</t>
  </si>
  <si>
    <t>Παπαευθυμίου Σπυρίδων</t>
  </si>
  <si>
    <t>Σωτ</t>
  </si>
  <si>
    <t>Σ500090</t>
  </si>
  <si>
    <t>ΠΑΠΑΕΥΣΤΑΘΙΟΥ ΑΝΑΤΟΛΗ</t>
  </si>
  <si>
    <t>ΑΒ672649</t>
  </si>
  <si>
    <t>ΠΑΠΑΕΥΣΤΑΘΙΟΥ ΙΩΑΝΝΗΣ</t>
  </si>
  <si>
    <t>ΑΕ073556</t>
  </si>
  <si>
    <t>ΠΑΠΑΖΑΧΑΡΙΑΣ ΚΩΝΣΤΑΝΤΙΝΟΣ</t>
  </si>
  <si>
    <t>ΑΝ328274</t>
  </si>
  <si>
    <t>ΠΑΠΑΖΗΣΗ ΓΕΩΡΓΙΑ</t>
  </si>
  <si>
    <t>ΑΜ997407</t>
  </si>
  <si>
    <t>ΠΑΠΑΖΗΣΗΣ ΛΑΖΑΡΟΣ</t>
  </si>
  <si>
    <t>Χ410421</t>
  </si>
  <si>
    <t>ΠΑΠΑΖΟΓΛΟΥ ΙΩΑΝΝΑ</t>
  </si>
  <si>
    <t>ΑΜ686093</t>
  </si>
  <si>
    <t>ΠΑΠΑΘΑΝΑΣΙΟΥ ΕΥΑΓΓΕΛΙΑ</t>
  </si>
  <si>
    <t>Τ230554</t>
  </si>
  <si>
    <t>ΠΑΠΑΘΑΝΑΣΙΟΥ ΕΥΑΓΓΕΛΟΣ</t>
  </si>
  <si>
    <t>ΑΖ302547</t>
  </si>
  <si>
    <t>ΠΑΠΑΘΑΝΑΣΙΟΥ ΧΡΗΣΤΟΣ</t>
  </si>
  <si>
    <t>Π072218</t>
  </si>
  <si>
    <t>ΠΑΠΑΘΕΟΔΩΡΟΥ ΑΙΚΑΤΕΡΙΝΗ</t>
  </si>
  <si>
    <t>Π984636</t>
  </si>
  <si>
    <t>ΠΑΠΑΙΩΑΝΝΟΥ ΔΕΣΠΟΙΝΑ</t>
  </si>
  <si>
    <t>ΟΡΘ</t>
  </si>
  <si>
    <t>ΑΕ646647</t>
  </si>
  <si>
    <t>ΠΑΠΑΙΩΑΝΝΟΥ ΔΗΜΗΤΡΙΟΣ</t>
  </si>
  <si>
    <t>ΑΜ756692</t>
  </si>
  <si>
    <t>ΠΑΠΑΙΩΑΝΝΟΥ ΠΟΛΥΞΕΝΗ</t>
  </si>
  <si>
    <t>Π194866</t>
  </si>
  <si>
    <t xml:space="preserve">ΠΑΠΑΚΑΝΕΛΛΟΣ ΣΠΥΡΙΔΩΝ </t>
  </si>
  <si>
    <t>Τ864304</t>
  </si>
  <si>
    <t>ΠΑΠΑΚΙΤΣΟΣ ΠΑΝΤΕΛΕΗΜΩΝ</t>
  </si>
  <si>
    <t>ΑΗ744138</t>
  </si>
  <si>
    <t>ΠΑΠΑΚΩΝΣΤΑΝΤΙΝΟΥ ΘΕΟΔΩΡΑ</t>
  </si>
  <si>
    <t>ΑΗ224732</t>
  </si>
  <si>
    <t>ΠΑΠΑΚΩΝΣΤΑΝΤΙΝΟΥ ΚΩΝΣΤΑΝΤΙΝΟΣ</t>
  </si>
  <si>
    <t>ΑΖ103330</t>
  </si>
  <si>
    <t>ΠΑΠΑΚΩΣΤΑΣ ΣΠΥΡΙΔΩΝ</t>
  </si>
  <si>
    <t>ΑΚ675137</t>
  </si>
  <si>
    <t>ΠΑΠΑΛΑ ΜΑΡΙΑ</t>
  </si>
  <si>
    <t>Σ958062</t>
  </si>
  <si>
    <t>ΠΑΠΑΛΕΞΟΠΟΥΛΟΣ ΙΩΑΝΝΗΣ</t>
  </si>
  <si>
    <t>ΑΗ707757</t>
  </si>
  <si>
    <t>ΠΑΠΑΛΙΩΖΗΣ ΠΑΝΑΓΙΩΤΗΣ</t>
  </si>
  <si>
    <t>Ρ160182</t>
  </si>
  <si>
    <t>ΠΑΠΑΛΟΠΟΥΛΟΥ ΒΑΣΙΛΙΚΗ</t>
  </si>
  <si>
    <t>ΑΜ123998</t>
  </si>
  <si>
    <t>ΠΑΠΑΜΑΚΑΡΙΟΥ ΔΩΡΟΘΕΑ</t>
  </si>
  <si>
    <t>ΑΑ440642</t>
  </si>
  <si>
    <t>ΠΑΠΑΜΑΡΓΑΡΙΤΗ ΒΑΣΙΛΙΚΗ</t>
  </si>
  <si>
    <t>Π510494</t>
  </si>
  <si>
    <t>ΠΑΠΑΜΑΣΤΡΟΓΙΑΝΝΗ ΕΙΡΗΝΗ</t>
  </si>
  <si>
    <t>ΑΒ346707</t>
  </si>
  <si>
    <t>ΠΑΠΑΜΗΝΑΣ ΠΕΡΙΚΛΗΣ</t>
  </si>
  <si>
    <t>Τ493480</t>
  </si>
  <si>
    <t>ΠΑΠΑΜΙΧΑΗΛ ΑΝΝΑ</t>
  </si>
  <si>
    <t>ΑΖ510041</t>
  </si>
  <si>
    <t>ΠΑΠΑΜΙΧΑΗΛ ΙΩΑΝΝΗΣ</t>
  </si>
  <si>
    <t>ΑΑ340011</t>
  </si>
  <si>
    <t>ΠΑΠΑΝΑΣΤΑΣΙΟΥ ΔΗΜΗΤΡΙΟΣ</t>
  </si>
  <si>
    <t>ΑΒ193488</t>
  </si>
  <si>
    <t>ΠΑΠΑΝΑΣΤΑΣΟΠΟΥΛΟΥ ΣΩΣΑΝΝΑ</t>
  </si>
  <si>
    <t>ΑΕ731631</t>
  </si>
  <si>
    <t>ΠΑΠΑΝΔΡΕΟΥ ΕΛΕΝΗ</t>
  </si>
  <si>
    <t>Ξ092449</t>
  </si>
  <si>
    <t>ΠΑΠΑΝΔΡΕΟΥ ΕΥΘΥΜΙΑ</t>
  </si>
  <si>
    <t>ΑΗ146855</t>
  </si>
  <si>
    <t>ΠΑΠΑΝΕΣΤΩΡΟΠΟΥΛΟΣ ΚΩΝΣΤΑΝΤΙΝΟΣ</t>
  </si>
  <si>
    <t>Σ921484</t>
  </si>
  <si>
    <t>ΠΑΠΑΝΙΚΟΛΑ ΑΙΚΑΤΕΡΊΝΗ</t>
  </si>
  <si>
    <t>ΑΜ132906</t>
  </si>
  <si>
    <t>ΠΑΠΑΝΙΚΟΛΑΟΥ ΕΥΑΓΓΕΛΙΑ</t>
  </si>
  <si>
    <t>Π512003</t>
  </si>
  <si>
    <t>ΠΑΠΑΝΙΚΟΣ ΧΡΗΣΤΟΣ</t>
  </si>
  <si>
    <t>Χ519206</t>
  </si>
  <si>
    <t xml:space="preserve">ΠΑΠΑΝΤΩΝΗ ΑΣΠΑΣΙΑ </t>
  </si>
  <si>
    <t>ΑΒ230012</t>
  </si>
  <si>
    <t>ΠΑΠΑΝΤΩΝΙΟΥ ΜΑΡΙΝΑ</t>
  </si>
  <si>
    <t>ΑΗ414710</t>
  </si>
  <si>
    <t>ΠΑΠΑΠΑΥΛΟΥ ΒΑΣΙΛΕΙΟΣ</t>
  </si>
  <si>
    <t>ΑΝ192587</t>
  </si>
  <si>
    <t>ΠΑΠΑΠΟΣΤΟΛΟΥ ΙΩΑΝΝΗΣ</t>
  </si>
  <si>
    <t>Π539437</t>
  </si>
  <si>
    <t>ΠΑΠΑΠΟΣΤΟΛΟΥ ΧΡΗΣΤΟΣ</t>
  </si>
  <si>
    <t>Χ471378</t>
  </si>
  <si>
    <t>ΠΑΠΑΡΑ ΠΑΡΑΣΚΕΥΗ</t>
  </si>
  <si>
    <t>ΑΙ845526</t>
  </si>
  <si>
    <t>ΠΑΠΑΡΓΕΩΡΓΟΠΟΥΛΟΣ ΗΛΙΑΣ</t>
  </si>
  <si>
    <t>Χ599613</t>
  </si>
  <si>
    <t>ΠΑΠΑΣΠΥΡΟΥ ΜΑΡΙΑΝΝΑ</t>
  </si>
  <si>
    <t>ΑΜ324950</t>
  </si>
  <si>
    <t>ΠΑΠΑΣΤΑΙΚΟΥΔΗ ΕΛΕΝΗ</t>
  </si>
  <si>
    <t>Ρ385769</t>
  </si>
  <si>
    <t>ΠΑΠΑΣΥΜΕΩΝ ΚΥΡΙΑΚΗ</t>
  </si>
  <si>
    <t>Ρ297373</t>
  </si>
  <si>
    <t>ΠΑΠΑΦΩΤΗΣ ΦΩΤΙΟΣ</t>
  </si>
  <si>
    <t>Χ073786</t>
  </si>
  <si>
    <t>ΠΑΠΑΧΑΡΑΛΑΜΠΟΥΣ ΒΑΙΤΣΑ</t>
  </si>
  <si>
    <t>ΑΚ872874</t>
  </si>
  <si>
    <t>ΠΑΠΑΧΑΤΖΑΚΗΣ ΙΩΑΝΝΗΣ</t>
  </si>
  <si>
    <t>ΑΖ534954</t>
  </si>
  <si>
    <t>ΠΑΠΑΧΡΗΣΤΟΣ ΚΩΝ/ΝΟΣ</t>
  </si>
  <si>
    <t>ΑΝ319143</t>
  </si>
  <si>
    <t>ΠΑΠΑΧΡΗΣΤΟΥ ΑΡΕΤΗ</t>
  </si>
  <si>
    <t>ΑΒ293819</t>
  </si>
  <si>
    <t>ΠΑΠΑΧΡΗΣΤΟΥ ΚΩΝΣΤΑΝΤΙΝΑ</t>
  </si>
  <si>
    <t>ΑΖ398752</t>
  </si>
  <si>
    <t>ΠΑΠΙΟΓΛΟΥ ΤΟΥΡΚΙΑΝ</t>
  </si>
  <si>
    <t>ΡΑΣ</t>
  </si>
  <si>
    <t>Χ107398</t>
  </si>
  <si>
    <t>ΠΑΠΟΥΤΣΗ ΕΛΕΝΗ</t>
  </si>
  <si>
    <t>Ξ809210</t>
  </si>
  <si>
    <t>ΠΑΠΟΥΤΣΗΣ ΠΑΝΑΓΙΩΤΗΣ</t>
  </si>
  <si>
    <t>ΑΒ533512</t>
  </si>
  <si>
    <t>ΠΑΠΟΥΤΣΗΣ ΧΡΗΣΤΟΣ</t>
  </si>
  <si>
    <t>ΑΜ423289</t>
  </si>
  <si>
    <t>ΠΑΠΟΥΤΣΙΔΟΥ ΕΥΜΟΡΦΙΛΗ</t>
  </si>
  <si>
    <t>ΑΚ264994</t>
  </si>
  <si>
    <t>ΠΑΠΠΑ ΑΘΑΝΑΣΙΑ</t>
  </si>
  <si>
    <t>Ρ894102</t>
  </si>
  <si>
    <t>ΠΑΠΠΑ ΕΥΑΓΓΕΛΙΑ</t>
  </si>
  <si>
    <t>ΑΜ789623</t>
  </si>
  <si>
    <t>ΠΑΠΠΑ ΖΑΧΑΡΟΥΛΑ</t>
  </si>
  <si>
    <t>Χ361670</t>
  </si>
  <si>
    <t>ΔΗΜΟΣ ΦΙΛΙΑΤΩΝ ΘΕΣΠΡΩΤΙΑΣ</t>
  </si>
  <si>
    <t>ΠΑΠΠΑ ΖΩΗ</t>
  </si>
  <si>
    <t>ΑΑ393829</t>
  </si>
  <si>
    <t>ΠΑΠΠΑ ΣΟΦΙΑ</t>
  </si>
  <si>
    <t>ΑΒ092212</t>
  </si>
  <si>
    <t>ΥΕ ΕΡΓΑΤΩΝ (ΓΕΝΙΚΩΝ ΚΑΘΗΚΟΝΤΩΝ)</t>
  </si>
  <si>
    <t>ΠΑΠΠΑΣ ΑΘΑΝΑΣΙΟΣ</t>
  </si>
  <si>
    <t>Π078403</t>
  </si>
  <si>
    <t>ΠΑΠΠΑΣ ΑΛΕΞΙΟΣ</t>
  </si>
  <si>
    <t>Σ484673</t>
  </si>
  <si>
    <t xml:space="preserve">ΠΑΠΠΑΣ βΑΣΙΛΗΣ </t>
  </si>
  <si>
    <t>Χ113828</t>
  </si>
  <si>
    <t>ΠΑΠΠΑΣ ΓΕΩΡΓΙΟΣ</t>
  </si>
  <si>
    <t>Τ259567</t>
  </si>
  <si>
    <t xml:space="preserve">ΠΑΠΠΑΣ ΜΑΡΚΟΣ </t>
  </si>
  <si>
    <t>ΑΖ195288</t>
  </si>
  <si>
    <t>ΠΑΠΠΑΣ ΠΑΝΑΓΙΩΤΗΣ</t>
  </si>
  <si>
    <t>Χ360772</t>
  </si>
  <si>
    <t>ΠΑΠΠΑΣ ΣΠΥΡΙΔΩΝ</t>
  </si>
  <si>
    <t>ΑΖ103120</t>
  </si>
  <si>
    <t>ΠΑΡΑΘΥΡΑ ΒΑΡΒΑΡΑ</t>
  </si>
  <si>
    <t>ΑΜ647655</t>
  </si>
  <si>
    <t>ΠΑΡΑΝΟΜΟΥ ΑΝΝΑ</t>
  </si>
  <si>
    <t>ΑΝ826177</t>
  </si>
  <si>
    <t>ΠΑΡΑΣΙΔΗΣ ΓΕΩΡΓΙΟΣ</t>
  </si>
  <si>
    <t>ΑΗ869599</t>
  </si>
  <si>
    <t>ΠΑΡΑΣΚΕΥΑ ΠΑΝΑΓΙΩΤΑ</t>
  </si>
  <si>
    <t>ΑΑ276503</t>
  </si>
  <si>
    <t>ΠΑΡΑΣΚΕΥΟΠΟΥΛΟΣ ΓΕΩΡΓΙΟΣ</t>
  </si>
  <si>
    <t>ΑΜ252026</t>
  </si>
  <si>
    <t>ΑΜ253308</t>
  </si>
  <si>
    <t>ΠΑΡΑΣΚΕΥΟΠΟΥΛΟΣ ΔΙΟΝΥΣΙΟΣ</t>
  </si>
  <si>
    <t>Θ360937</t>
  </si>
  <si>
    <t>ΠΑΡΑΣΚΕΥΟΠΟΥΛΟΣ ΚΩΝΣΤΑΝΤΙΝΟΣ</t>
  </si>
  <si>
    <t>ΑΜ595326</t>
  </si>
  <si>
    <t>ΠΑΡΑΣΚΕΥΟΠΟΥΛΟΣ ΝΕΚΤΑΡΙΟΣ</t>
  </si>
  <si>
    <t>ΑΑ373354</t>
  </si>
  <si>
    <t>ΠΑΡΑΣΚΕΥΟΠΟΥΛΟΥ ΚΑΛΛΙΟΠΗ</t>
  </si>
  <si>
    <t>ΑΝ109527</t>
  </si>
  <si>
    <t>ΠΑΡΑΣΚΕΥΟΠΟΥΛΟΥ ΜΑΡΘΑ</t>
  </si>
  <si>
    <t>Χ551808</t>
  </si>
  <si>
    <t>ΠΑΡΑΣΚΕΥΟΠΟΥΛΟΥ ΧΡΥΣΟΥΛΑ</t>
  </si>
  <si>
    <t>ΑΑ410059</t>
  </si>
  <si>
    <t xml:space="preserve">ΠΑΡΑΣΚΕΥΟΠΟΥΛΟΥ  ΕΥΑΓΓΕΛΙΑ </t>
  </si>
  <si>
    <t>ΑΚ825442</t>
  </si>
  <si>
    <t>ΠΑΡΑΣΤΑΤΙΔΗΣ ΕΡΩΣΙ</t>
  </si>
  <si>
    <t>ΑΜ703761</t>
  </si>
  <si>
    <t>ΠΑΡΑΣΥΡΗΣ ΜΙΧΑΛΗΣ</t>
  </si>
  <si>
    <t>Σ487111</t>
  </si>
  <si>
    <t>ΠΑΡΑΣΧΗΣ ΔΗΜΗΤΡΙΟΣ</t>
  </si>
  <si>
    <t>ΑΒ643927</t>
  </si>
  <si>
    <t>ΠΑΡΑΣΧΗΣ ΧΑΡΑΛΑΜΠΟΣ</t>
  </si>
  <si>
    <t>Π528318</t>
  </si>
  <si>
    <t xml:space="preserve">ΠΑΡΙΣΗ ΑΓΓΕΛΙΚΗ </t>
  </si>
  <si>
    <t>Χ947206</t>
  </si>
  <si>
    <t>ΠΑΡΙΣΗ ΛΑΜΠΡΙΝΗ</t>
  </si>
  <si>
    <t>ΑΕ294735</t>
  </si>
  <si>
    <t>ΠΑΡΙΣΗΣ ΑΝΔΡΕΑΣ</t>
  </si>
  <si>
    <t>Φ234713</t>
  </si>
  <si>
    <t>ΠΑΡΜΑΚΗΣ ΣΩΤΗΡΗΣ</t>
  </si>
  <si>
    <t>ΑΜ755884</t>
  </si>
  <si>
    <t>ΠΑΡΟΤΣΙΔΗΣ ΘΕΟΔΩΡΟΣ</t>
  </si>
  <si>
    <t>ΑΑ043556</t>
  </si>
  <si>
    <t>ΠΑΡΟΤΣΙΔΗΣ ΣΥΜΕΩΝ</t>
  </si>
  <si>
    <t>Τ532428</t>
  </si>
  <si>
    <t>ΠΑΡΟΤΣΙΔΟΥ ΒΑΛΕΝΤΙΝΑ</t>
  </si>
  <si>
    <t>Τ019705</t>
  </si>
  <si>
    <t>ΠΑΡΟΥΤΗ ΣΟΥΛΤΑΝΑ</t>
  </si>
  <si>
    <t>Σ404737</t>
  </si>
  <si>
    <t>ΠΑΡΣΑΛΙΔΗΣ ΙΩΑΝΝΗΣ</t>
  </si>
  <si>
    <t>ΑΖ863572</t>
  </si>
  <si>
    <t>ΠΑΡΩΤΙΔΟΥ ΕΙΡΗΝΗ</t>
  </si>
  <si>
    <t>ΑΖ893128</t>
  </si>
  <si>
    <t>ΠΑΣΑΛΙΔΗΣ ΑΝΔΡΕΑΣ</t>
  </si>
  <si>
    <t>ΑΖ869629</t>
  </si>
  <si>
    <t>ΠΑΣΑΛΙΔΗΣ ΔΗΜΗΤΡΙΟΣ</t>
  </si>
  <si>
    <t>Χ762757</t>
  </si>
  <si>
    <t>πασιας νικολαος</t>
  </si>
  <si>
    <t>Ν795249</t>
  </si>
  <si>
    <t>ΠΑΣΟΥΛΑ ΣΤΥΛΙΑΝΗ</t>
  </si>
  <si>
    <t>Ξ475241</t>
  </si>
  <si>
    <t>ΠΑΣΠΑΛΑ ΚΑΛΛΙΟΠΗ</t>
  </si>
  <si>
    <t>Π375122</t>
  </si>
  <si>
    <t>ΠΑΣΠΑΛΙΑΡΗΣ ΧΡΗΣΤΟΣ</t>
  </si>
  <si>
    <t>Χ282541</t>
  </si>
  <si>
    <t>ΠΑΣΠΑΡΑΣ ΜΙΧΑΗΛ</t>
  </si>
  <si>
    <t>ΣΕΒ</t>
  </si>
  <si>
    <t>ΑΖ451926</t>
  </si>
  <si>
    <t>ΠΑΣΣΑΡΑ ΧΡΙΣΤΙΝΑ</t>
  </si>
  <si>
    <t>ΑΚ259135</t>
  </si>
  <si>
    <t>ΠΑΣΣΑΡΗΣ ΚΩΝΣΤΑΝΤΙΝΟΣ</t>
  </si>
  <si>
    <t>Χ402107</t>
  </si>
  <si>
    <t>Πασσια Λυδία</t>
  </si>
  <si>
    <t>Χ364278</t>
  </si>
  <si>
    <t>ΠΑΣΤΡΑ ΚΩΝΣΤΑΝΤΙΝΑ</t>
  </si>
  <si>
    <t>ΑΚ230065</t>
  </si>
  <si>
    <t>ΠΑΣΧΑΛΗ ΕΙΡΗΝΗ-ΜΑΡΙΑ</t>
  </si>
  <si>
    <t>ΑΝ121213</t>
  </si>
  <si>
    <t>ΠΑΣΧΑΛΗ ΕΥΦΡΟΣΥΝΗ</t>
  </si>
  <si>
    <t>ΑΕ791430</t>
  </si>
  <si>
    <t>ΠΑΣΧΑΛΗΣ ΕΥΑΓΓΕΛΟΣ</t>
  </si>
  <si>
    <t>Ρ544802</t>
  </si>
  <si>
    <t>ΠΑΣΧΑΛΗΣ ΘΕΟΔΩΡΟΣ</t>
  </si>
  <si>
    <t>Π207648</t>
  </si>
  <si>
    <t>ΠΑΣΧΑΛΙΔΗΣ ΑΝΔΡΕΑΣ</t>
  </si>
  <si>
    <t>ΑΕ611992</t>
  </si>
  <si>
    <t>ΠΑΣΧΑΛΙΔΗΣ ΓΕΩΡΓΙΟΣ</t>
  </si>
  <si>
    <t>ΑΗ358352</t>
  </si>
  <si>
    <t>ΠΑΣΧΙΔΗΣ ΑΝΔΡΕΑΣ</t>
  </si>
  <si>
    <t>Π282340</t>
  </si>
  <si>
    <t>ΠΑΣΧΟΥ ΚΑΣΣΙΑΝΗ</t>
  </si>
  <si>
    <t>Ξ674850</t>
  </si>
  <si>
    <t>ΠΑΣΧΟΥ ΜΑΡΙΑ</t>
  </si>
  <si>
    <t>Τ385295</t>
  </si>
  <si>
    <t>ΠΑΤΕΛΗΣ ΜΑΡΙΟΣ</t>
  </si>
  <si>
    <t>Ν592753</t>
  </si>
  <si>
    <t>ΠΑΤΕΝΙΔΗΣ ΚΩΝΣΤΑΝΤΙΝΟΣ</t>
  </si>
  <si>
    <t>Μ699668</t>
  </si>
  <si>
    <t>ΠΑΤΕΡΟΠΟΥΛΟΣ ΜΙΛΤΙΑΔΗΣ</t>
  </si>
  <si>
    <t>ΑΝ470463</t>
  </si>
  <si>
    <t>ΠΑΤΗΛΑ ΕΛΜΙΝΑ</t>
  </si>
  <si>
    <t>ΑΙ651787</t>
  </si>
  <si>
    <t>ΠΑΤΗΝΙΩΤΗΣ ΜΑΡΙΝΟΣ</t>
  </si>
  <si>
    <t>Σ039390</t>
  </si>
  <si>
    <t>ΠΑΤΡΑΣΚΟΥ ΑΘΗΝΑ</t>
  </si>
  <si>
    <t>ΙΟΥ</t>
  </si>
  <si>
    <t>Φ080813</t>
  </si>
  <si>
    <t>ΠΑΤΣΑ ΣΤΑΥΡΟΥΛΑ</t>
  </si>
  <si>
    <t>ΑΙ845633</t>
  </si>
  <si>
    <t xml:space="preserve">ΠΑΤΣΑΗΣ ΓΕΩΡΓΙΟΣ </t>
  </si>
  <si>
    <t>Χ320217</t>
  </si>
  <si>
    <t>ΠΑΤΣΑΡΟΣ ΓΕΩΡΓΙΟΣ</t>
  </si>
  <si>
    <t>Ξ974010</t>
  </si>
  <si>
    <t>ΠΑΤΣΗ ΑΠΟΣΤΟΛΙΑ</t>
  </si>
  <si>
    <t>ΑΚ547121</t>
  </si>
  <si>
    <t>ΠΑΤΣΗΣ ΔΗΜΗΤΡΙΟΣ</t>
  </si>
  <si>
    <t>ΑΙ265912</t>
  </si>
  <si>
    <t>ΠΑΤΣΙΑΝΙΔΗ ΙΩΑΝΝΑ</t>
  </si>
  <si>
    <t>Τ193022</t>
  </si>
  <si>
    <t>ΠΑΤΣΙΑΟΥΡΑ ΑΘΗΝΑ</t>
  </si>
  <si>
    <t>Χ875436</t>
  </si>
  <si>
    <t>ΠΑΤΣΙΔΗΣ ΘΕΟΧΑΡΗΣ</t>
  </si>
  <si>
    <t>ΑΙ404857</t>
  </si>
  <si>
    <t>ΠΑΤΣΙΛΙΑΣ ΓΕΩΡΓΙΟΣ</t>
  </si>
  <si>
    <t>ΑΙ353618</t>
  </si>
  <si>
    <t>ΠΑΤΣΟΓΙΑΝΝΗ ΓΕΩΡΓΙΑ</t>
  </si>
  <si>
    <t>Χ426137</t>
  </si>
  <si>
    <t>ΠΑΤΣΟΝΙΚΟΛΗ ΚΩΝΣΤΑΝΤΙΝΑ</t>
  </si>
  <si>
    <t>ΑΕ076497</t>
  </si>
  <si>
    <t>ΠΑΤΣΟΥΡΗΣ ΓΕΩΡΓΙΟΣ</t>
  </si>
  <si>
    <t>ΑΜ434863</t>
  </si>
  <si>
    <t>ΠΑΥΛΑΚΗΣ ΜΙΧΑΗΛ</t>
  </si>
  <si>
    <t>Ν993397</t>
  </si>
  <si>
    <t>ΠΑΥΛΕΛΗ ΧΑΡΑΛΑΜΠΙΑ</t>
  </si>
  <si>
    <t>ΑΗ589917</t>
  </si>
  <si>
    <t>ΠΑΥΛΙΔΗ ΟΥΡΑΝΙΑ</t>
  </si>
  <si>
    <t>Χ069346</t>
  </si>
  <si>
    <t>ΠΑΥΛΙΔΗΣ ΚΟΣΜΑΣ</t>
  </si>
  <si>
    <t>ΑΒ450132</t>
  </si>
  <si>
    <t>ΠΑΥΛΙΔΗΣ ΣΑΒΒΑΣ</t>
  </si>
  <si>
    <t>ΑΖ810923</t>
  </si>
  <si>
    <t>ΠΑΥΛΟΠΟΥΛΟΥ ΒΑΣΙΛΙΚΗ</t>
  </si>
  <si>
    <t>ΑΜ315839</t>
  </si>
  <si>
    <t>ΠΑΥΛΟΥ ΚΩΝΣΤΑΝΤΙΝΑ</t>
  </si>
  <si>
    <t>ΑΙ573186</t>
  </si>
  <si>
    <t>ΠΑΥΛΟΥ ΧΡΗΣΤΟΣ</t>
  </si>
  <si>
    <t>Ξ648077</t>
  </si>
  <si>
    <t>ΠΑΦΗ ΔΗΜΗΤΡΑ</t>
  </si>
  <si>
    <t>Χ366584</t>
  </si>
  <si>
    <t>ΔΗΜΟΣ ΜΕΤΣΟΒΟΥ</t>
  </si>
  <si>
    <t>ΠΑΦΙΤΗ ΖΩΓΡΑΦΑ</t>
  </si>
  <si>
    <t>ΑΖ317416</t>
  </si>
  <si>
    <t>ΠΑΧΗ ΣΤΑΥΡΟΥΛΑ</t>
  </si>
  <si>
    <t>Τ419784</t>
  </si>
  <si>
    <t>ΠΑΧΟΥΜΗ ΣΤΑΥΡΟΥΛΑ</t>
  </si>
  <si>
    <t>ΑΜ684031</t>
  </si>
  <si>
    <t>ΠΑΧΥΔΑΚΗΣ ΕΜΜΑΝΟΥΗΛ</t>
  </si>
  <si>
    <t>ΑΝ092859</t>
  </si>
  <si>
    <t>ΠΕΓΙΑ ΣΟΦΙΑ</t>
  </si>
  <si>
    <t>ΑΜ883846</t>
  </si>
  <si>
    <t>ΠΕΔΙΑΔΙΤΑΚΗΣ ΙΩΑΝΝΗΣ</t>
  </si>
  <si>
    <t>Τ521322</t>
  </si>
  <si>
    <t>ΠΕΖΟΥΛΑ ΕΛΕΝΗ</t>
  </si>
  <si>
    <t>Λ698907</t>
  </si>
  <si>
    <t>ΠΕΙΟΥ ΠΑΣΧΑΛΙΝΑ</t>
  </si>
  <si>
    <t>ΑΕ196707</t>
  </si>
  <si>
    <t>ΠΕΚΟΣ ΒΑΣΙΛΕΙΟΣ</t>
  </si>
  <si>
    <t>ΑΜ436174</t>
  </si>
  <si>
    <t>ΠΕΚΡΙΔΗΣ ΕΥΣΤΑΘΙΟΣ</t>
  </si>
  <si>
    <t>Χ236602</t>
  </si>
  <si>
    <t>ΠΕΛΕΚΑ ΚΥΡΙΑΚΟΥΛΑ</t>
  </si>
  <si>
    <t>Ξ897815</t>
  </si>
  <si>
    <t>ΠΕΛΕΚΑ ΣΤΕΡΓΙΑΝΗ</t>
  </si>
  <si>
    <t>Σ903176</t>
  </si>
  <si>
    <t>ΠΕΛΕΚΗ ΔΩΡΟΘΕΑ</t>
  </si>
  <si>
    <t>ΑΚ352002</t>
  </si>
  <si>
    <t>ΠΕΛΕΚΗΣ ΑΝΔΡΕΑΣ</t>
  </si>
  <si>
    <t>ΑΗ519600</t>
  </si>
  <si>
    <t>ΠΕΛΕΤΙΔΟΥ ΑΘΗΝΑ</t>
  </si>
  <si>
    <t>ΑΕ826071</t>
  </si>
  <si>
    <t>ΠΕΛΛΑ ΧΡΙΣΤΙΝΑ</t>
  </si>
  <si>
    <t>ΑΚ939131</t>
  </si>
  <si>
    <t>ΠΕΛΛΟΣ ΙΩΑΝΝΗΣ</t>
  </si>
  <si>
    <t>ΑΗ453676</t>
  </si>
  <si>
    <t>ΠΕΛΤΕΚΙΔΟΥ ΖΑΦΕΙΡΩ</t>
  </si>
  <si>
    <t>ΑΑ455657</t>
  </si>
  <si>
    <t>Πενογλιδου Παρθενα</t>
  </si>
  <si>
    <t>Δαμ</t>
  </si>
  <si>
    <t>ΑΙ325208</t>
  </si>
  <si>
    <t>ΠΕΝΤΑΡΑΚΗΣ ΑΝΤΩΝΙΟΣ</t>
  </si>
  <si>
    <t>ΑΗ977600</t>
  </si>
  <si>
    <t>ΠΕΝΤΑΦΡΟΝΙΜΟΥ ΑΙΚΑΤΕΡΙΝΗ</t>
  </si>
  <si>
    <t>ΑΕ734574</t>
  </si>
  <si>
    <t>ΠΕΝΤΙΔΟΥ ΦΛΩΡΑ</t>
  </si>
  <si>
    <t>Χ987898</t>
  </si>
  <si>
    <t>ΠΕΞΑ ΓΡΗΓΟΡΙΑ</t>
  </si>
  <si>
    <t>ΑΖ870919</t>
  </si>
  <si>
    <t>ΠΕΠΠΑΣ ΓΕΩΡΓΙΟΣ</t>
  </si>
  <si>
    <t>ΑΕ808268</t>
  </si>
  <si>
    <t>ΠΕΠΠΑΣ ΔΗΜΗΤΡΗΣ</t>
  </si>
  <si>
    <t>Σ725837</t>
  </si>
  <si>
    <t>ΠΕΠΠΕ ΑΓΓΕΛΙΚΗ</t>
  </si>
  <si>
    <t>ΑΑ120126</t>
  </si>
  <si>
    <t>ΠΕΡΑΚΗΣ ΕΜΜΑΝΟΥΗΛ</t>
  </si>
  <si>
    <t>ΑΙ459190</t>
  </si>
  <si>
    <t>ΠΕΡΓΑΜΑΛΗΣ ΓΕΩΡΓΙΟΣ</t>
  </si>
  <si>
    <t>ΑΗ138693</t>
  </si>
  <si>
    <t>ΠΕΡΓΑΜΙΝΟΥ ΧΡΥΣΗ</t>
  </si>
  <si>
    <t>ΑΖ191830</t>
  </si>
  <si>
    <t>Περδικούρη Μαρία</t>
  </si>
  <si>
    <t>Ευά</t>
  </si>
  <si>
    <t>ΑΖ524287</t>
  </si>
  <si>
    <t xml:space="preserve">ΠΕΡΙΝΤΖΗ ΑΘΑΝΑΣΙΑ </t>
  </si>
  <si>
    <t>Χ759920</t>
  </si>
  <si>
    <t>ΠΕΡΙΧΑΝΙΑΝ ΚΑΡΙΝΕ</t>
  </si>
  <si>
    <t>ΑΑ248763</t>
  </si>
  <si>
    <t>ΠΕΡΟΥΛΑΚΗΣ ΒΑΣΙΛΕΙΟΣ</t>
  </si>
  <si>
    <t>Ι971690</t>
  </si>
  <si>
    <t>ΠΕΡΟΥΛΗΣ ΠΕΤΡΟΣ</t>
  </si>
  <si>
    <t>ΑΖ013185</t>
  </si>
  <si>
    <t>ΠΕΡΡΑΚΗΣ ΠΑΝΤΑΖΗΣ</t>
  </si>
  <si>
    <t>ΑΒ174962</t>
  </si>
  <si>
    <t>ΠΕΡΡΟΥ ΕΛΕΝΗ</t>
  </si>
  <si>
    <t>Χ881451</t>
  </si>
  <si>
    <t>ΠΕΡΣΟΠΟΥΛΟΥ ΚΥΡΙΑΚΗ</t>
  </si>
  <si>
    <t>Χ227590</t>
  </si>
  <si>
    <t>ΠΕΣΙΡΙΔΗΣ ΓΕΩΡΓΙΟΣ</t>
  </si>
  <si>
    <t>ΑΙ694362</t>
  </si>
  <si>
    <t>ΠΕΤΑΛΑΣ ΒΑΣΙΛΕΙΟΣ</t>
  </si>
  <si>
    <t>ΑΒ324100</t>
  </si>
  <si>
    <t>ΠΕΤΑΝΙΔΗΣ ΓΕΩΡΓΙΟΣ</t>
  </si>
  <si>
    <t>ΑΜ676329</t>
  </si>
  <si>
    <t>ΠΕΤΚΟΣ ΧΡΗΣΤΟΣ</t>
  </si>
  <si>
    <t>Ρ964264</t>
  </si>
  <si>
    <t>ΔΗΜΟΣ ΗΡΑΚΛΕΙΑΣ ΣΕΡΡΩΝ</t>
  </si>
  <si>
    <t>ΠΕΤΜΕΖΑΣ ΓΕΩΡΓΙΟΣ</t>
  </si>
  <si>
    <t>Σ651985</t>
  </si>
  <si>
    <t>ΠΕΤΡΑΚΗ ΔΙΟΝΥΣΙΑ</t>
  </si>
  <si>
    <t>Χ851986</t>
  </si>
  <si>
    <t>ΠΕΤΡΑΚΗ ΧΡΙΣΤΙΝΑ</t>
  </si>
  <si>
    <t>ΑΚ570177</t>
  </si>
  <si>
    <t>ΠΕΤΡΑΚΟΥ ΟΛΓΑ</t>
  </si>
  <si>
    <t>Χ799491</t>
  </si>
  <si>
    <t xml:space="preserve">ΠΕΤΡΑΚΟΥ  ΑΓΓΕΛΙΚΗ </t>
  </si>
  <si>
    <t>Π658243</t>
  </si>
  <si>
    <t>ΠΕΤΡΑΣ ΔΗΜΗΤΡΙΟΣ</t>
  </si>
  <si>
    <t>ΑΖ176225</t>
  </si>
  <si>
    <t>ΠΕΤΡΑΣ ΝΙΚΟΛΑΟΣ</t>
  </si>
  <si>
    <t>ΑΗ644075</t>
  </si>
  <si>
    <t>ΠΕΤΡΕΝΙΤΗ ΠΑΝΑΓΙΩΤΑ</t>
  </si>
  <si>
    <t>ΑΗ767065</t>
  </si>
  <si>
    <t>ΠΕΤΡΙΔΗ ΑΛΕΞΑΝΔΡΑ</t>
  </si>
  <si>
    <t>ΑΖ326337</t>
  </si>
  <si>
    <t>ΠΕΤΡΙΔΗΣ ΖΑΧΑΡΙΑΣ</t>
  </si>
  <si>
    <t>ΑΒ899792</t>
  </si>
  <si>
    <t>ΠΕΤΡΙΔΗΣ ΙΩΑΝΝΗΣ</t>
  </si>
  <si>
    <t>Φ308590</t>
  </si>
  <si>
    <t>ΠΕΤΡΙΔΗΣ ΠΑΡΙΣΗΣ</t>
  </si>
  <si>
    <t>ΣΥΝ</t>
  </si>
  <si>
    <t>ΑΝ226189</t>
  </si>
  <si>
    <t>ΠΕΤΡΙΔΟΥ ΑΝΑΣΤΑΣΙΑ</t>
  </si>
  <si>
    <t>ΑΚ997279</t>
  </si>
  <si>
    <t>ΠΕΤΡΙΔΟΥ ΚΩΝΣΤΑΝΤΙΝΙΑ</t>
  </si>
  <si>
    <t>ΑΒ375272</t>
  </si>
  <si>
    <t>ΠΕΤΡΙΔΟΥ ΣΟΥΛΤΑΝΑ</t>
  </si>
  <si>
    <t>ΑΖ320412</t>
  </si>
  <si>
    <t>ΠΕΤΡΟΜΑΝΙΑΤΗ ΠΟΠΗ</t>
  </si>
  <si>
    <t>Τ015646</t>
  </si>
  <si>
    <t>ΠΕΤΡΟΠΟΥΛΟΣ ΒΑΓΙΟΣ-ΑΓΓΕΛΟΣ</t>
  </si>
  <si>
    <t>Ρ988189</t>
  </si>
  <si>
    <t>ΠΕΤΡΟΠΟΥΛΟΣ ΓΕΩΡΓΙΟΣ</t>
  </si>
  <si>
    <t>ΑΑ880296</t>
  </si>
  <si>
    <t>ΑΕ716895</t>
  </si>
  <si>
    <t>ΠΕΤΡΟΠΟΥΛΟΣ ΔΗΜΗΤΡΗΣ</t>
  </si>
  <si>
    <t>ΑΒ229006</t>
  </si>
  <si>
    <t>ΠΕΤΡΟΠΟΥΛΟΣ ΣΕΡΑΦΕΙΜ</t>
  </si>
  <si>
    <t>ΑΖ496131</t>
  </si>
  <si>
    <t>ΠΕΤΡΟΠΟΥΛΟΣ ΣΠΥΡΙΔΩΝ</t>
  </si>
  <si>
    <t>ΑΑ447416</t>
  </si>
  <si>
    <t>ΠΕΤΡΟΠΟΥΛΟΣ ΣΩΤΗΡΙΟΣ</t>
  </si>
  <si>
    <t>ΑΖ498541</t>
  </si>
  <si>
    <t>ΠΕΤΡΟΠΟΥΛΟΥ ΜΑΡΓΑΡΙΤΑ</t>
  </si>
  <si>
    <t>ΑΑ103363</t>
  </si>
  <si>
    <t>ΠΕΤΡΟΠΟΥΛΟΥ ΧΡΥΣΟΒΑΛΑΝΤΟΥ</t>
  </si>
  <si>
    <t>Χ487774</t>
  </si>
  <si>
    <t>ΠΕΤΡΟΥ ΓΕΡΟΝΤΙΟΣ</t>
  </si>
  <si>
    <t>ΑΑ345160</t>
  </si>
  <si>
    <t>ΠΕΤΡΟΥΤΣΟΣ ΑΓΓΕΛΟΣ</t>
  </si>
  <si>
    <t>ΑΕ636866</t>
  </si>
  <si>
    <t>ΠΕΤΣΑ ΔΗΜΗΤΡΑ</t>
  </si>
  <si>
    <t>ΑΑ258198</t>
  </si>
  <si>
    <t>ΠΕΤΣΑ ΠΑΣΧΑΛΙΑ</t>
  </si>
  <si>
    <t>ΑΕ504114</t>
  </si>
  <si>
    <t>ΠΕΤΣΑΣ ΝΙΚΟΛΑΟΣ</t>
  </si>
  <si>
    <t>Ρ977185</t>
  </si>
  <si>
    <t>ΠΕΤΣΙΑΣ ΚΩΝΣΤΑΝΤΙΝΟΣ</t>
  </si>
  <si>
    <t>ΑΜ387688</t>
  </si>
  <si>
    <t>ΠΕΤΣΙΑΣ ΣΩΤΗΡΙΟΣ</t>
  </si>
  <si>
    <t>ΑΜ834025</t>
  </si>
  <si>
    <t>ΠΕΤΣΙΤΗΣ ΚΥΡΙΑΚΟΣ</t>
  </si>
  <si>
    <t>ΑΙ052715</t>
  </si>
  <si>
    <t>ΠΕΤΤΑ ΜΑΡΘΑ</t>
  </si>
  <si>
    <t>ΑΜ524301</t>
  </si>
  <si>
    <t>ΠΕΧΛΙΒΑΝΗ ΑΝΑΣΤΑΣΙΑ</t>
  </si>
  <si>
    <t>ΑΖ171437</t>
  </si>
  <si>
    <t>ΠΗΓΗΣ ΣΠΥΡΙΔΩΝ</t>
  </si>
  <si>
    <t>ΑΒ261734</t>
  </si>
  <si>
    <t>ΠΗΛΙΤΣΟΣ ΕΜΜΑΝΟΥΗΛ</t>
  </si>
  <si>
    <t>Σ915365</t>
  </si>
  <si>
    <t>ΠΗΛΙΤΣΟΥ ΑΝΝΑ</t>
  </si>
  <si>
    <t>Ξ977826</t>
  </si>
  <si>
    <t>ΠΙΚΑΣΗΣ ΓΕΩΡΓΙΟΣ</t>
  </si>
  <si>
    <t>ΑΚ497408</t>
  </si>
  <si>
    <t>ΠΙΛΑΒΟΒΑ ΑΘΗΝΑ</t>
  </si>
  <si>
    <t>Χ773714</t>
  </si>
  <si>
    <t>ΠΙΛΑΤΟΣ ΔΗΜΗΤΡΙΟΣ</t>
  </si>
  <si>
    <t>ΑΙ320413</t>
  </si>
  <si>
    <t>ΠΙΝΙΡΟΣ ΚΩΝΣΤΑΝΤΙΝΟΣ</t>
  </si>
  <si>
    <t>ΑΖ624910</t>
  </si>
  <si>
    <t>ΠΙΠΕΡΙΓΚΟΥ ΧΡΙΣΤΙΝΑ</t>
  </si>
  <si>
    <t>ΑΙ778606</t>
  </si>
  <si>
    <t>ΠΙΠΙΛΙΑΡΗΣ ΠΕΤΡΟΣ</t>
  </si>
  <si>
    <t>ΑΗ324116</t>
  </si>
  <si>
    <t>ΠΙΠΙΛΙΑΡΙΔΗΣ ΔΗΜΗΤΡΙΟΣ</t>
  </si>
  <si>
    <t>ΑΙ891326</t>
  </si>
  <si>
    <t>ΠΙΠΙΛΙΑΡΙΔΗΣ ΙΩΑΝΝΗΣ</t>
  </si>
  <si>
    <t>ΑΗ657607</t>
  </si>
  <si>
    <t>ΠΙΠΙΛΙΑΡΙΔΗΣ ΚΩΝΣΤΑΝΤΙΝΟΣ</t>
  </si>
  <si>
    <t>ΑΝ216149</t>
  </si>
  <si>
    <t>ΑΕ848419</t>
  </si>
  <si>
    <t>ΑΑ365120</t>
  </si>
  <si>
    <t>ΠΙΠΠΑΣ ΓΕΩΡΓΙΟΣ</t>
  </si>
  <si>
    <t>ΑΚ349148</t>
  </si>
  <si>
    <t>ΠΙΠΠΟΣ ΕΛΕΥΘΕΡΙΟΣ</t>
  </si>
  <si>
    <t>ΑΕ302601</t>
  </si>
  <si>
    <t>ΔΗΜΟΣ ΙΘΑΚΗΣ ΚΕΦΑΛΛΗΝΙΑΣ</t>
  </si>
  <si>
    <t xml:space="preserve">ΠΙΣΤΕΠΟΥΛΙΔΗΣ ΣΤΑΥΡΟΣ </t>
  </si>
  <si>
    <t>ΑΗ401641</t>
  </si>
  <si>
    <t>ΠΙΣΤΙΟΛΗ ΠΑΝΑΓΙΩΤΑ</t>
  </si>
  <si>
    <t>ΑΝ174902</t>
  </si>
  <si>
    <t>ΠΙΣΤΟΠΟΥΛΟΣ ΚΩΝΣΤΑΝΤΙΝΟΣ</t>
  </si>
  <si>
    <t>Π752215</t>
  </si>
  <si>
    <t>ΠΙΣΤΟΦΙΔΗΣ ΧΡΗΣΤΟΣ</t>
  </si>
  <si>
    <t>ΑΝ370017</t>
  </si>
  <si>
    <t>ΠΙΤΑΡΑΣ ΤΑΞΙΑΡΧΗΣ</t>
  </si>
  <si>
    <t>Ξ081109</t>
  </si>
  <si>
    <t>ΠΙΤΣΑΒΟΥ ΣΤΑΥΡΟΥΛΑ</t>
  </si>
  <si>
    <t>ΑΑ393270</t>
  </si>
  <si>
    <t>ΠΙΤΣΗΣ ΜΑΡΙΟΣ</t>
  </si>
  <si>
    <t>ΑΑ341286</t>
  </si>
  <si>
    <t>ΠΙΤΣΙΝΑΚΑ ΟΛΓΑ</t>
  </si>
  <si>
    <t>Σ648938</t>
  </si>
  <si>
    <t>ΠΙΤΣΙΝΗ ΗΛΙΑΝΑ</t>
  </si>
  <si>
    <t>ΑΖ135846</t>
  </si>
  <si>
    <t>ΠΙΤΣΟΣ ΛΟΥΚΑΣ</t>
  </si>
  <si>
    <t>ΑΜ998984</t>
  </si>
  <si>
    <t>ΠΛΑΒΟΥΚΟΥ ΕΛΕΝΗ</t>
  </si>
  <si>
    <t>Σ062175</t>
  </si>
  <si>
    <t>ΠΛΑΚΑΣ ΙΩΑΝΝΗΣ</t>
  </si>
  <si>
    <t>ΑΜ211877</t>
  </si>
  <si>
    <t>ΠΛΑΚΩΤΑΡΗΣ ΜΑΝΟΛΗΣ</t>
  </si>
  <si>
    <t>ΑΝ456453</t>
  </si>
  <si>
    <t>ΠΛΑΣΚΑΣOΒΙΤΗ ΚΑΛΛΙΟΠΗ</t>
  </si>
  <si>
    <t>ΑΒ476793</t>
  </si>
  <si>
    <t>ΠΛΑΣΚΑΣΟΒΙΤΗΣ ΗΛΙΑΣ</t>
  </si>
  <si>
    <t>ΑΖ257802</t>
  </si>
  <si>
    <t>ΠΛΑΣΤΗΡΑ ΠΑΝΩΡΑΙΑ</t>
  </si>
  <si>
    <t>Χ765246</t>
  </si>
  <si>
    <t>ΠΛΑΤΑΝΙΑΣ ΓΕΩΡΓΙΟΣ</t>
  </si>
  <si>
    <t>ΑΕΡ730888</t>
  </si>
  <si>
    <t>ΠΛΑΤΑΝΙΑΣ ΔΗΜΗΤΡΙΟΣ</t>
  </si>
  <si>
    <t>Χ041011</t>
  </si>
  <si>
    <t>ΔΗΜΟΣ ΠΕΝΤΕΛΗΣ ΝΟΜΟΥ ΑΤΤΙΚΗΣ</t>
  </si>
  <si>
    <t>ΠΛΑΤΗΣ ΑΝΔΡΕΑΣ</t>
  </si>
  <si>
    <t>Ρ007463</t>
  </si>
  <si>
    <t>ΠΛΕΣΙΑΣ ΣΤΥΛΙΑΝΟΣ</t>
  </si>
  <si>
    <t>ΑΚ046137</t>
  </si>
  <si>
    <t>ΠΛΕΣΣΑ ΚΑΤΕΡΙΝΑ</t>
  </si>
  <si>
    <t>ΑΜ503627</t>
  </si>
  <si>
    <t>ΠΛΕΣΣΑΣ ΓΕΩΡΓΙΟΣ</t>
  </si>
  <si>
    <t>ΑΗ642769</t>
  </si>
  <si>
    <t>ΠΛΗΣ ΙΩΑΝΝΗΣ</t>
  </si>
  <si>
    <t>Φ202707</t>
  </si>
  <si>
    <t>ΠΛΙΑΚΑΣ ΕΥΑΓΓΕΛΟΣ</t>
  </si>
  <si>
    <t>Μ835771</t>
  </si>
  <si>
    <t>ΠΛΙΑΤΣΙΚΑ ΙΩΑΝΝΑ</t>
  </si>
  <si>
    <t>ΑΜ755054</t>
  </si>
  <si>
    <t>ΠΛΙΟΚΑ ΑΝΑΣΤΑΣΙΑ</t>
  </si>
  <si>
    <t>Φ228517</t>
  </si>
  <si>
    <t>ΠΛΟΥΜΗΣ ΑΠΟΣΤΟΛΟΣ</t>
  </si>
  <si>
    <t>ΑΕ426777</t>
  </si>
  <si>
    <t>ΠΟΓΚΑ ΑΘΑΝΑΣΙΑ</t>
  </si>
  <si>
    <t>Ρ514978</t>
  </si>
  <si>
    <t>ΠΟΔΑΡΑ ΦΩΤΕΙΝΗ</t>
  </si>
  <si>
    <t>Χ584395</t>
  </si>
  <si>
    <t>ΠΟΔΑΡΑΣ ΔΗΜΗΤΡΙΟΣ</t>
  </si>
  <si>
    <t>ΑΙ832144</t>
  </si>
  <si>
    <t>ΠΟΖΙΔΟΥ ΜΑΡΙΑ</t>
  </si>
  <si>
    <t>ΑΙ853490</t>
  </si>
  <si>
    <t>ΠΟΘΗΤΟΣ ΒΑΣΙΛΕΙΟΣ</t>
  </si>
  <si>
    <t>Χ533380</t>
  </si>
  <si>
    <t>ΔΗΜΟΣ ΝΑΞΟΥ ΚΑΙ ΜΙΚΡΩΝ ΚΥΚΛΑΔΩΝ</t>
  </si>
  <si>
    <t>ΠΟΙΚΙΛΙΔΟΥ ΜΑΡΙΑ</t>
  </si>
  <si>
    <t>ΑΝ773227</t>
  </si>
  <si>
    <t>ΠΟΙΜΕΝΙΔΟΥ ΕΜΟΡΦΥΛΗ</t>
  </si>
  <si>
    <t>ΑΝ189608</t>
  </si>
  <si>
    <t>ΠΟΚΟΛΙΔΗΣ ΙΩΑΝΝΗΣ</t>
  </si>
  <si>
    <t>Χ207807</t>
  </si>
  <si>
    <t>ΠΟΛΙΔΟΥ ΕΛΕΝΗ</t>
  </si>
  <si>
    <t>ΙΛΝ</t>
  </si>
  <si>
    <t>Χ614188</t>
  </si>
  <si>
    <t>ΠΟΛΙΤΗ ΕΛΕΝΗ</t>
  </si>
  <si>
    <t>ΑΗ764973</t>
  </si>
  <si>
    <t>ΠΟΛΙΤΗ ΧΡΥΣΟΥΛΑ</t>
  </si>
  <si>
    <t>ΑΜ635285</t>
  </si>
  <si>
    <t>ΠΟΛΙΤΗΣ ΙΩΑΝΝΗΣ</t>
  </si>
  <si>
    <t>ΑΒ098757</t>
  </si>
  <si>
    <t>ΠΟΛΙΤΗΣ ΚΩΝΣΤΑΝΤΙΝΟΣ</t>
  </si>
  <si>
    <t>Φ490063</t>
  </si>
  <si>
    <t>ΠΟΛΙΤΟΓΛΟΥ ΚΥΡΙΑΚΗ</t>
  </si>
  <si>
    <t>ΑΗ658509</t>
  </si>
  <si>
    <t>ΠΟΛΙΤΟΥ ΑΡΓΥΡΩ</t>
  </si>
  <si>
    <t>Σ000657</t>
  </si>
  <si>
    <t>ΠΟΛΙΤΟΥ ΕΥΑΓΓΕΛΙΑ</t>
  </si>
  <si>
    <t>Ξ975096</t>
  </si>
  <si>
    <t>ΠΟΛΙΥΗΣ ΓΕΡΑΣΙΜΟΣ</t>
  </si>
  <si>
    <t>ΑΚ816339</t>
  </si>
  <si>
    <t>ΠΟΛΚΑ ΧΑΡΑΛΑΜΠΙΑ</t>
  </si>
  <si>
    <t>ΑΖ583685</t>
  </si>
  <si>
    <t>ΠΟΛΟΝΥΦΗΣ ΘΩΜΑΣ</t>
  </si>
  <si>
    <t>ΑΕ497074</t>
  </si>
  <si>
    <t>ΠΟΛΥΒΙΟΥ ΕΥΓΕΝΟΥΛΑ</t>
  </si>
  <si>
    <t>ΠΟΛΥΓΕΝΗ ΑΝΝΑ</t>
  </si>
  <si>
    <t>ΑΚ432815</t>
  </si>
  <si>
    <t xml:space="preserve">Πολυδωρου  Χρυσούλα </t>
  </si>
  <si>
    <t>Ρ579855</t>
  </si>
  <si>
    <t>ΠΟΛΥΖΩΓΟΠΟΥΛΟΥ ΑΓΓΕΛΙΚΗ</t>
  </si>
  <si>
    <t>Ξ103915</t>
  </si>
  <si>
    <t>ΠΟΛΥΖΩΓΟΠΟΥΛΟΥ ΕΥΘΥΜΙΑ</t>
  </si>
  <si>
    <t>Ρ694775</t>
  </si>
  <si>
    <t>ΠΟΛΥΖΩΗ ΑΝΤΩΝΙΑ</t>
  </si>
  <si>
    <t>ΑΙ428537</t>
  </si>
  <si>
    <t xml:space="preserve">ΠΟΛΥΖΩΗΣ  ΠΑΝΑΓΙΩΤΗΣ </t>
  </si>
  <si>
    <t>ΑΗ545064</t>
  </si>
  <si>
    <t>ΠΟΛΥΖΩΙΔΟΥ ΒΑΓΙΑ</t>
  </si>
  <si>
    <t>Χ044632</t>
  </si>
  <si>
    <t>ΠΟΛΥΚΑΝΔΡΙΩΤΗΣ ΕΥΑΓΓΕΛΟΣ</t>
  </si>
  <si>
    <t>ΑΕ948168</t>
  </si>
  <si>
    <t>ΠΟΛΥΜΟΣ ΣΤΑΥΡΟΣ</t>
  </si>
  <si>
    <t>Σ169129</t>
  </si>
  <si>
    <t>ΠΟΛΥΧΡΟΝΙΑΔΗΣ ΛΥΣΙΜΑΧΟΣ</t>
  </si>
  <si>
    <t>ΑΖ655713</t>
  </si>
  <si>
    <t>ΠΟΛΥΧΡΟΝΙΑΔΗΣ ΣΩΤΗΡΙΟΣ</t>
  </si>
  <si>
    <t>Ρ331627</t>
  </si>
  <si>
    <t>ΠΟΛΥΧΡΟΝΟΠΟΥΛΟΣ  ΗΡΑΚΛΗΣ</t>
  </si>
  <si>
    <t>ΑΗ100103</t>
  </si>
  <si>
    <t>ΠΟΛΥΧΡΟΝΟΥ ΜΑΡΙΑ</t>
  </si>
  <si>
    <t>ΑΜ989010</t>
  </si>
  <si>
    <t>ΠΟΝΤΙΚΗ ΔΕΣΠΟΙΝΑ</t>
  </si>
  <si>
    <t>Ρ805191</t>
  </si>
  <si>
    <t>ΠΟΝΤΙΚΟΥ ΕΙΡΗΝΗ</t>
  </si>
  <si>
    <t>Σ926802</t>
  </si>
  <si>
    <t>ΠΟΡΙΧΗ ΑΙΚΑΤΕΡΙΝΗ</t>
  </si>
  <si>
    <t>Ν586729</t>
  </si>
  <si>
    <t>ΠΟΡΛΟΥ ΕΙΡΗΝΗ</t>
  </si>
  <si>
    <t>Τ824673</t>
  </si>
  <si>
    <t>ΠΟΡΟΥΤΣΙΔΗΣ ΔΗΜΗΤΡΙΟΣ</t>
  </si>
  <si>
    <t>ΑΑ035558</t>
  </si>
  <si>
    <t>ΠΟΡΤΕΛΗΣ ΔΗΜΗΤΡΙΟΣ</t>
  </si>
  <si>
    <t>ΑΚ532096</t>
  </si>
  <si>
    <t>ΠΟΡΤΟΚΑΛΛΗΣ ΙΩΑΝΝΗΣ</t>
  </si>
  <si>
    <t>Τ292790</t>
  </si>
  <si>
    <t>ΠΟΤΑΜΙΤΗ ΑΙΚΑΤΕΡΙΝΗ</t>
  </si>
  <si>
    <t>Χ333877</t>
  </si>
  <si>
    <t>ΠΟΤΟΥΡΙΔΟΥ ΓΑΛΙΝΑ</t>
  </si>
  <si>
    <t>ΑΒ687116</t>
  </si>
  <si>
    <t>ΠΟΤΣΙΔΟΥ ΕΛΕΝΑ</t>
  </si>
  <si>
    <t>ΑΗ854253</t>
  </si>
  <si>
    <t>ΠΟΥΛΑΚΗΣ ΙΩΑΝΝΗΣ</t>
  </si>
  <si>
    <t>ΑΒ064237</t>
  </si>
  <si>
    <t>ΠΟΥΛΗΜΕΝΟΣ ΙΩΑΝΝΗΣ</t>
  </si>
  <si>
    <t>Ρ355481</t>
  </si>
  <si>
    <t>ΠΟΥΛΗΜΕΝΟΣ ΚΩΝΣΤΑΝΤΙΝΟΣ</t>
  </si>
  <si>
    <t>Ν228398</t>
  </si>
  <si>
    <t>ΠΟΥΛΗΣ ΘΕΟΔΟΡΟΣ</t>
  </si>
  <si>
    <t>ΑΚ509922</t>
  </si>
  <si>
    <t>ΠΟΥΛΙΑΣΗ ΜΑΡΙΑ</t>
  </si>
  <si>
    <t>ΑΖ574170</t>
  </si>
  <si>
    <t>ΠΟΥΛΙΑΣΗ ΣΟΦΙΑ</t>
  </si>
  <si>
    <t>Σ210608</t>
  </si>
  <si>
    <t>ΠΟΥΛΙΑΣΗΣ ΒΑΣΙΛΕΙΟΣ</t>
  </si>
  <si>
    <t>ΑΝ250531</t>
  </si>
  <si>
    <t>ΠΟΥΛΙΑΣΗΣ ΧΑΡΙΔΗΜΟΣ</t>
  </si>
  <si>
    <t>Σ600149</t>
  </si>
  <si>
    <t>ΠΟΥΛΙΟΠΟΥΛΟΣ ΓΕΩΡΓΙΟΣ</t>
  </si>
  <si>
    <t>Π181923</t>
  </si>
  <si>
    <t>ΠΟΥΛΙΟΣ ΠΕΤΡΟΣ</t>
  </si>
  <si>
    <t>ΑΙ596145</t>
  </si>
  <si>
    <t>ΠΟΥΛΙΟΥ ΦΩΤΕΙΝΗ</t>
  </si>
  <si>
    <t>ΑΕ696220</t>
  </si>
  <si>
    <t>Π860144</t>
  </si>
  <si>
    <t>ΠΟΥΛΟΠΟΥΛΟΣ ΔΗΜΗΤΡΙΟΣ</t>
  </si>
  <si>
    <t>ΑΜ771536</t>
  </si>
  <si>
    <t>ΠΟΥΛΟΠΟΥΛΟΥ ΔΗΜΗΤΡΑ</t>
  </si>
  <si>
    <t>ΑΒ666558</t>
  </si>
  <si>
    <t>ΠΟΥΡΝΑΡΑ ΑΙΚΑΤΕΡΙΝΗ</t>
  </si>
  <si>
    <t>Χ409751</t>
  </si>
  <si>
    <t>ΠΟΥΡΝΑΡΑΣ ΘΩΜΑΣ</t>
  </si>
  <si>
    <t>ΑΑ976180</t>
  </si>
  <si>
    <t>ΠΟΥΡΝΕΛΗ ΜΑΡΙΑ</t>
  </si>
  <si>
    <t>Σ555746</t>
  </si>
  <si>
    <t>ΠΟΥΡΟΥΖΙΔΟΥ ΕΛΕΝΗ</t>
  </si>
  <si>
    <t>ΑΚ767101</t>
  </si>
  <si>
    <t>ΠΟΥΡΣΑΝΙΔΗΣ ΔΗΜΗΤΡΙΟΣ</t>
  </si>
  <si>
    <t>Φ383071</t>
  </si>
  <si>
    <t>ΠΟΥΡΣΑΝΙΔΗΣ ΚΩΝΣΤΑΝΤΙΝΟΣ</t>
  </si>
  <si>
    <t>ΑΜ198867</t>
  </si>
  <si>
    <t>ΠΟΥΣΙΝΗ ΚΥΡΙΑΚΗ</t>
  </si>
  <si>
    <t>Ξ536803</t>
  </si>
  <si>
    <t>ΠΟΥΣΟΥΛΗΣ ΧΡΗΣΤΟΣ</t>
  </si>
  <si>
    <t>Σ340408</t>
  </si>
  <si>
    <t>ΠΡΑΓΜΑΤΕΥΤΗ ΝΕΡΑΝΤΖΟΥΛΑ</t>
  </si>
  <si>
    <t>ΑΖ278772</t>
  </si>
  <si>
    <t>ΠΡΑΠΑ ΙΩΑΝΝΑ</t>
  </si>
  <si>
    <t>Ξ803864</t>
  </si>
  <si>
    <t>ΠΡΑΠΑ ΣΟΦΙΑ</t>
  </si>
  <si>
    <t>Ρ967037</t>
  </si>
  <si>
    <t>ΠΡΑΠΑΣ ΜΙΧΑΗΛ</t>
  </si>
  <si>
    <t>ΑΜ330717</t>
  </si>
  <si>
    <t>ΠΡΑΣΣΑ ΕΙΡΗΝΗ</t>
  </si>
  <si>
    <t>ΤΡΥ</t>
  </si>
  <si>
    <t>ΑΚ606709</t>
  </si>
  <si>
    <t>ΠΡΑΣΣΑ ΕΛΕΝΗ</t>
  </si>
  <si>
    <t>Τ235068</t>
  </si>
  <si>
    <t>ΠΡΑΣΣΑ ΕΥΑΓΓΕΛΙΑ</t>
  </si>
  <si>
    <t>ΑΕ721598</t>
  </si>
  <si>
    <t>ΠΡΑΤΑΡΗ ΕΥΠΡΑΞΙΑ</t>
  </si>
  <si>
    <t>ΑΒ512476</t>
  </si>
  <si>
    <t>ΠΡΕΚΑ ΚΑΛΛΙΟΠΗ</t>
  </si>
  <si>
    <t>Φ283592</t>
  </si>
  <si>
    <t>ΠΡΕΜΕΤΗ ΠΑΝΑΓΙΩΤΑ</t>
  </si>
  <si>
    <t>ΑΕ808212</t>
  </si>
  <si>
    <t>ΠΡΕΜΤΟΥ ΑΝΘΟΥΛΑ</t>
  </si>
  <si>
    <t>ΑΙ213064</t>
  </si>
  <si>
    <t xml:space="preserve">ΠΡΕΝΤΖΑ ΒΑΣΙΛΙΚΗ </t>
  </si>
  <si>
    <t>ΑΗ744817</t>
  </si>
  <si>
    <t>ΠΡΕΝΤΖΑ ΚΩΝΣΤΑΝΤΙΝΑ</t>
  </si>
  <si>
    <t>ΑΑ027081</t>
  </si>
  <si>
    <t>ΠΡΙΝΤΕΖΗΣ ΑΝΤΩΝΙΟΣ</t>
  </si>
  <si>
    <t>ΑΖ127672</t>
  </si>
  <si>
    <t>ΠΡΙΝΤΖΙΟΣ ΑΘΑΝΑΣΙΟΣ</t>
  </si>
  <si>
    <t>ΑΗ777278</t>
  </si>
  <si>
    <t>ΠΡΙΣΙΜΙΤΖΗ ΦΛΩΡΑ</t>
  </si>
  <si>
    <t>ΑΝ120422</t>
  </si>
  <si>
    <t>ΠΡΙΤΣΟΥΛΗ ΕΛΕΝΗ</t>
  </si>
  <si>
    <t>Σ028166</t>
  </si>
  <si>
    <t>ΠΡΟΒΑΤΑΣ ΝΙΚΟΛΑΟΣ</t>
  </si>
  <si>
    <t>Ι535306</t>
  </si>
  <si>
    <t>ΠΡΟΒΙΔΑ ΕΙΡΗΝΗ</t>
  </si>
  <si>
    <t>Κ764291</t>
  </si>
  <si>
    <t>ΠΡΟΕΔΡΟΥ ΔΗΜΗΤΡΗΣ</t>
  </si>
  <si>
    <t>Τ000406</t>
  </si>
  <si>
    <t>ΠΡΟΙΟΥ ΕΛΕΝΗ</t>
  </si>
  <si>
    <t>ΑΝ374882</t>
  </si>
  <si>
    <t>ΠΡΟΚΟΠΗ ΕΥΑΓΓΕΛΙΑ</t>
  </si>
  <si>
    <t>ΑΙ542218</t>
  </si>
  <si>
    <t>ΠΡΟΚΟΠΟΥΛΟΣ ΠΑΝΑΓΙΩΤΗΣ</t>
  </si>
  <si>
    <t>Ρ344905</t>
  </si>
  <si>
    <t>ΠΡΟΜΠΟΝΑ ΣΩΤΗΡΙΑ</t>
  </si>
  <si>
    <t>Φ057150</t>
  </si>
  <si>
    <t>ΠΡΟΥΝΤΖΟΥ ΑΓΓΕΛΙΚΗ</t>
  </si>
  <si>
    <t>Ρ253237</t>
  </si>
  <si>
    <t>ΠΡΥΜΙΔΟΥ ΟΥΡΑΝΙΑ</t>
  </si>
  <si>
    <t>Χ067420</t>
  </si>
  <si>
    <t>ΠΡΩΙΟΣ ΜΑΡΚΟΣ</t>
  </si>
  <si>
    <t>ΑΖ684283</t>
  </si>
  <si>
    <t>ΠΥΡΓΑ ΧΡΙΣΤΙΝΑ</t>
  </si>
  <si>
    <t>ΑΙ225636</t>
  </si>
  <si>
    <t>ΠΥΡΕΝΗ ΠΑΝΑΓΙΩΤΑ</t>
  </si>
  <si>
    <t>Χ161163</t>
  </si>
  <si>
    <t>ΠΥΡΙΖΙΔΟΥ ΜΑΡΙΑ</t>
  </si>
  <si>
    <t>ΑΚ276451</t>
  </si>
  <si>
    <t>ΡΑΖΑΚΙΑΣ ΝΙΚΟΛΑΟΣ</t>
  </si>
  <si>
    <t>ΑΚ104357</t>
  </si>
  <si>
    <t>ΡΑΗΦ ΓΚΙΟΥΛΤΖΑΝ</t>
  </si>
  <si>
    <t>ΙΣΕ</t>
  </si>
  <si>
    <t>ΑΖ407627</t>
  </si>
  <si>
    <t>ΡΑΙΔΗ ΠΑΝΑΓΙΩΤΑ</t>
  </si>
  <si>
    <t>ΑΗ268102</t>
  </si>
  <si>
    <t>ΡΑΙΚΟΣ ΓΕΩΡΓΙΟΣ</t>
  </si>
  <si>
    <t>Φ032126</t>
  </si>
  <si>
    <t>ΡΑΙΚΟΣ ΣΩΤΗΡΙΟΣ</t>
  </si>
  <si>
    <t>ΑΕ241612</t>
  </si>
  <si>
    <t>ΡΑΙΝΑΚΗ ΑΝΝΑ</t>
  </si>
  <si>
    <t>Χ417521</t>
  </si>
  <si>
    <t>ΡΑΜΑΝΤΑΝΟΓΛΟΥ  ΕΛΕΥΘΕΡΙΟΣ</t>
  </si>
  <si>
    <t>ΑΕ398043</t>
  </si>
  <si>
    <t>ΡΑΜΙΩΤΗ ΣΤΕΦΑΝΙΑ</t>
  </si>
  <si>
    <t>Φ334114</t>
  </si>
  <si>
    <t>ΡΑΜΟΣ ΧΡΙΣΤΟΦΟΡΟΣ</t>
  </si>
  <si>
    <t>ΑΙ423626</t>
  </si>
  <si>
    <t>ΡΑΜΠΕΛΗ ΙΟΡΔΑΝΑ</t>
  </si>
  <si>
    <t>ΑΝ355857</t>
  </si>
  <si>
    <t>ΡΑΜΦΟΥ ΑΙΚΑΤΕΡΙΝΗ</t>
  </si>
  <si>
    <t>Σ584666</t>
  </si>
  <si>
    <t>ΡΑΝΤΟΓΛΟΥ ΣΩΤΗΡΙΑ</t>
  </si>
  <si>
    <t>ΡΑΠΤΗ ΠΑΝΑΓΙΩΤΑ</t>
  </si>
  <si>
    <t>Χ363411</t>
  </si>
  <si>
    <t>ΡΑΠΤΗ ΧΑΡΙΚΛΕΙΑ</t>
  </si>
  <si>
    <t>Ν842038</t>
  </si>
  <si>
    <t>ΡΑΠΤΗΣ ΑΛΕΞΙΟΣ</t>
  </si>
  <si>
    <t>Σ446244</t>
  </si>
  <si>
    <t>ΡΑΠΤΟΠΟΥΛΟΣ ΝΙΚΟΛΑΟΣ</t>
  </si>
  <si>
    <t>ΑΑ364696</t>
  </si>
  <si>
    <t>ΥΕ ΕΡΓΑΤΩΝ ΤΕΧΝΙΚΩΝ ΕΡΓΑΣΙΩΝ</t>
  </si>
  <si>
    <t>ΡΑΠΤΟΠΟΥΛΟΥ ΜΑΡΙΑ</t>
  </si>
  <si>
    <t>ΑΒ465134</t>
  </si>
  <si>
    <t>ΡΑΣΣΙΑ ΠΕΡΣΕΦΟΝΗ</t>
  </si>
  <si>
    <t>ΑΕ255681</t>
  </si>
  <si>
    <t>ΡΑΦΤΟΓΙΑΝΝΗ ΠΑΡΑΣΚΕΥΗ</t>
  </si>
  <si>
    <t>Σ784541</t>
  </si>
  <si>
    <t>ΡΑΦΤΟΓΙΑΝΝΗΣ ΠΑΝΑΓΙΩΤΗΣ</t>
  </si>
  <si>
    <t>Ξ441075</t>
  </si>
  <si>
    <t>ΡΑΨΟΜΑΝΙΚΗ ΧΡΙΣΤΙΝΑ</t>
  </si>
  <si>
    <t>ΑΚ037140</t>
  </si>
  <si>
    <t>ΡΑΨΟΜΑΝΙΚΗΣ ΑΝΑΣΤΑΣΙΟΣ</t>
  </si>
  <si>
    <t>ΑΗ755901</t>
  </si>
  <si>
    <t>ΡΕΒΕΝΙΚΙΩΤΗΣ ΣΤΥΛΙΑΝΟΣ</t>
  </si>
  <si>
    <t>ΑΙ364295</t>
  </si>
  <si>
    <t>ΡΕΒΥΘΗ ΜΑΡΙΑ</t>
  </si>
  <si>
    <t>ΑΖ069682</t>
  </si>
  <si>
    <t>ΡΕΒΥΘΗΣ ΙΩΑΝΝΗΣ</t>
  </si>
  <si>
    <t>Κ507574</t>
  </si>
  <si>
    <t>ΡΕΓΚΑΤΖΟΥΝΗ ΖΩΙΤΣΑ</t>
  </si>
  <si>
    <t>Μ544817</t>
  </si>
  <si>
    <t>ΡΕΙΖΑΚΗΣ ΓΕΩΡΓΙΟΣ</t>
  </si>
  <si>
    <t>Χ917450</t>
  </si>
  <si>
    <t>ΡΕΛΛΟΥ ΔΗΜΗΤΡΟΥΛΑ</t>
  </si>
  <si>
    <t>Χ096328</t>
  </si>
  <si>
    <t>ΡΕΜΒΟΥ ΑΓΓΕΛΙΚΗ</t>
  </si>
  <si>
    <t>ΑΙ158204</t>
  </si>
  <si>
    <t>ΡΕΜΙΔΙΑΝΑΚΗ ΔΗΜΗΤΡΑ</t>
  </si>
  <si>
    <t>ΑΕ460212</t>
  </si>
  <si>
    <t>ΡΕΜΟΥΝΔΟΣ ΑΝΤΩΝΙΟΣ</t>
  </si>
  <si>
    <t>Σ021051</t>
  </si>
  <si>
    <t>ΡΕΝΤΖΟΥΛΑ ΜΑΡΙΑ</t>
  </si>
  <si>
    <t>Τ241816</t>
  </si>
  <si>
    <t>ΡΕΠΑΝΑΣ ΓΙΩΡΓΙΟΣ</t>
  </si>
  <si>
    <t>ΑΒ667437</t>
  </si>
  <si>
    <t>ΡΕΠΠΑΣ ΔΗΜΗΤΡΗΣ</t>
  </si>
  <si>
    <t>Χ087009</t>
  </si>
  <si>
    <t>ΡΕΣΓΓΙΤΣ ΧΑΛΗΤ</t>
  </si>
  <si>
    <t>ΜΕΧ</t>
  </si>
  <si>
    <t>ΑΗ367554</t>
  </si>
  <si>
    <t>ΡΕΤΖΕΠ ΟΓΛΟΥ ΣΕΝΔΟΥΑΝ</t>
  </si>
  <si>
    <t>ΦΙΚ</t>
  </si>
  <si>
    <t>ΑΗ165174</t>
  </si>
  <si>
    <t>ΡΕΤΖΕΠΗ ΣΟΥΛΤΑΝΑ</t>
  </si>
  <si>
    <t>ΑΑ280382</t>
  </si>
  <si>
    <t>ΡΕΤΣΕΛΑΣ ΧΡΗΣΤΟΣ</t>
  </si>
  <si>
    <t>Τ425957</t>
  </si>
  <si>
    <t>ΡΕΤΣΗ ΠΑΡΑΣΚΕΥΗ</t>
  </si>
  <si>
    <t>Π481942</t>
  </si>
  <si>
    <t>ΡΕΦΕΝΕ ΜΑΡΙΑΝΑ</t>
  </si>
  <si>
    <t>Χ377097</t>
  </si>
  <si>
    <t>ΡΗΓΑ ΝΙΚΟΛΙΤΣΑ</t>
  </si>
  <si>
    <t>ΑΝ241401</t>
  </si>
  <si>
    <t>ΡΗΓΑΚΗΣ ΕΛΕΥΘΕΡΙΟΣ</t>
  </si>
  <si>
    <t>ΑΜ458665</t>
  </si>
  <si>
    <t>ΡΗΓΑΛΟΥ ΣΠΥΡΙΔΟΥΛΑ</t>
  </si>
  <si>
    <t>ΑΑ059666</t>
  </si>
  <si>
    <t>ΡΗΓΑΣ ΙΩΑΝΝΗΣ</t>
  </si>
  <si>
    <t>Φ261849</t>
  </si>
  <si>
    <t>ΡΗΓΑΣ ΛΕΩΝΙΔΑΣ</t>
  </si>
  <si>
    <t>ΑΙ239257</t>
  </si>
  <si>
    <t>ΡΗΓΟΠΟΥΛΟΣ ΑΘΑΝΑΣΙΟΣ</t>
  </si>
  <si>
    <t>Π530344</t>
  </si>
  <si>
    <t>ΡΗΓΟΥΤΣΟΣ ΙΩΑΝΝΗΣ</t>
  </si>
  <si>
    <t>Σ172577</t>
  </si>
  <si>
    <t>ΡΗΤΤΑΣ ΑΝΑΣΤΑΣΙΟΣ</t>
  </si>
  <si>
    <t>ΑΒ264562</t>
  </si>
  <si>
    <t>ΡΙΓΓΑΣ ΑΛΕΞΑΝΔΡΟΣ</t>
  </si>
  <si>
    <t>ΑΒ820955</t>
  </si>
  <si>
    <t>ΡΙΓΚΟΥ ΚΥΡΙΑΚΗ</t>
  </si>
  <si>
    <t>ΑΙ871635</t>
  </si>
  <si>
    <t>ΡΙΖΑΚΗ ΕΛΕΝΗ</t>
  </si>
  <si>
    <t>Ρ905411</t>
  </si>
  <si>
    <t>ΡΙΖΙΔΟΥ ΜΑΡΙΑ</t>
  </si>
  <si>
    <t>Φ469428</t>
  </si>
  <si>
    <t>ΡΙΖΙΚΑΡΗ ΕΥΑΝΘΙΑ</t>
  </si>
  <si>
    <t>Χ756518</t>
  </si>
  <si>
    <t>ΡΙΖΟΣ ΔΗΜΗΤΡΙΟΣ</t>
  </si>
  <si>
    <t>Ρ408158</t>
  </si>
  <si>
    <t>ΑΕ299117</t>
  </si>
  <si>
    <t>ΡΙΖΟΥ ΕΛΕΝΗ</t>
  </si>
  <si>
    <t>ΑΡΧ</t>
  </si>
  <si>
    <t>ΑΚ940208</t>
  </si>
  <si>
    <t>ΡΙΝΓΓΟΥ ΑΜΑΛΙΑ</t>
  </si>
  <si>
    <t>ΑΚ428806</t>
  </si>
  <si>
    <t xml:space="preserve">ΡΙΤΣΑΤΟΥ ΑΝΑΣΤΑΣΙΑ </t>
  </si>
  <si>
    <t>Χ963795</t>
  </si>
  <si>
    <t>ΡΟΒΑΤΣΟΥ ΜΑΡΙΑ</t>
  </si>
  <si>
    <t>ΑΗ930108</t>
  </si>
  <si>
    <t>ΡΟΒΙΘΑΚΗΣ ΓΕΩΡΓΙΟΣ</t>
  </si>
  <si>
    <t>ΑΒ480716</t>
  </si>
  <si>
    <t>ΡΟΒΟΛΑΣ ΑΝΑΣΤΑΣΙΟΣ</t>
  </si>
  <si>
    <t>ΑΑ360066</t>
  </si>
  <si>
    <t>ΡΟΔΙΤΗΣ ΝΕΚΤΑΡΙΟΣ</t>
  </si>
  <si>
    <t>Σ298432</t>
  </si>
  <si>
    <t>ΡΟΖΑΚΗ ΛΑΜΠΡΙΝΗ</t>
  </si>
  <si>
    <t>Σ688600</t>
  </si>
  <si>
    <t>ΡΟΙΔΗΣ ΧΡΗΣΤΟΣ</t>
  </si>
  <si>
    <t>Ρ241090</t>
  </si>
  <si>
    <t>ΡΟΚΑΝΑΣ ΑΛΚΗΣ</t>
  </si>
  <si>
    <t>ΑΚ237766</t>
  </si>
  <si>
    <t>ΡΟΚΑΣ ΠΑΝΑΓ</t>
  </si>
  <si>
    <t>ΑΒ271595</t>
  </si>
  <si>
    <t>ΡΟΜΠΗ  ΔΗΜΗΤΡΟΥΛΑ</t>
  </si>
  <si>
    <t>ΑΕ643656</t>
  </si>
  <si>
    <t>ΡΟΜΠΟΓΙΑΝΝΑΚΗ ΑΝΑΣΤΑΣΙΑ</t>
  </si>
  <si>
    <t>Σ422986</t>
  </si>
  <si>
    <t>ΡΟΜΠΟΤΗΣ ΔΗΜΗΤΡΙΟΣ</t>
  </si>
  <si>
    <t>Φ064572</t>
  </si>
  <si>
    <t>ΡΟΥΓΚΟΥ ΜΑΡΙΑ</t>
  </si>
  <si>
    <t>ΑΙ283800</t>
  </si>
  <si>
    <t>ΡΟΥΖΟΥ ΑΙΚΑΤΕΡΙΝΗ</t>
  </si>
  <si>
    <t>Τ225453</t>
  </si>
  <si>
    <t>ΡΟΥΚΟΥΝΑΚΗ ΣΟΦΙΑ</t>
  </si>
  <si>
    <t>Φ071696</t>
  </si>
  <si>
    <t xml:space="preserve">ΡΟΥΜΕΛΙΩΤΗ ΔΕΣΠΟΙΝΑ </t>
  </si>
  <si>
    <t>Ρ709572</t>
  </si>
  <si>
    <t>ΡΟΥΜΕΛΙΩΤΗΣ ΕΛΕΥΘΕΡΙΟΣ</t>
  </si>
  <si>
    <t>ΑΜ953731</t>
  </si>
  <si>
    <t>ΡΟΥΜΕΛΙΩΤΗΣ ΙΩΑΝΝΗΣ</t>
  </si>
  <si>
    <t>ΑΒ424901</t>
  </si>
  <si>
    <t>ΡΟΥΜΕΛΙΩΤΗΣ ΠΑΡΑΣΚΕΥΑΣ</t>
  </si>
  <si>
    <t>ΑΜ488258</t>
  </si>
  <si>
    <t>ΡΟΥΜΠΕΑΣ ΠΑΝΑΓΙΩΤΗΣ</t>
  </si>
  <si>
    <t>Ρ384804</t>
  </si>
  <si>
    <t>ΡΟΥΜΠΙΕ ΓΕΩΡΓΙΑ</t>
  </si>
  <si>
    <t>ΑΙ868908</t>
  </si>
  <si>
    <t>ΡΟΥΜΠΛΗ ΔΙΟΝΥΣΙΑ</t>
  </si>
  <si>
    <t>ΑΖ557524</t>
  </si>
  <si>
    <t>ΡΟΥΜΠΟΣ ΕΥΑΓΓΕΛΟΣ</t>
  </si>
  <si>
    <t>ΑΗ351400</t>
  </si>
  <si>
    <t>ΡΟΥΝΤΟΥ ΒΑΙΑ</t>
  </si>
  <si>
    <t>ΑΗ262699</t>
  </si>
  <si>
    <t>ΡΟΥΠΑ ΓΙΑΝΝΟΥΛΑ</t>
  </si>
  <si>
    <t>ΑΕ477803</t>
  </si>
  <si>
    <t>ΡΟΥΣΟΥΝΕΛΟΣ ΓΕΩΡΓΙΟΣ</t>
  </si>
  <si>
    <t>ΤΑΣ</t>
  </si>
  <si>
    <t>ΑΕ086971</t>
  </si>
  <si>
    <t>ΡΟΥΣΣΚΙΧ ΑΘΗΝΑ</t>
  </si>
  <si>
    <t>ΙΒΑ</t>
  </si>
  <si>
    <t>ΑΕ 572524</t>
  </si>
  <si>
    <t>ΡΟΥΣΣΟΣ ΠΑΝΑΓΙΩΤΗΣ</t>
  </si>
  <si>
    <t>ΑΙ416711</t>
  </si>
  <si>
    <t>ΡΟΥΣΤΕΜ ΦΕΡΑΤ</t>
  </si>
  <si>
    <t>ΑΖ868509</t>
  </si>
  <si>
    <t>ΡΥΣΑΦΗΣ ΚΩΝΣΤΑΝΤΙΝΟΣ</t>
  </si>
  <si>
    <t>Χ446136</t>
  </si>
  <si>
    <t>ΡΩΜΑ ΜΑΡΙΑ</t>
  </si>
  <si>
    <t>ΑΑ480003</t>
  </si>
  <si>
    <t>ΡΩΜΑΝΑ ΕΛΕΝΗ</t>
  </si>
  <si>
    <t>ΑΝ296992</t>
  </si>
  <si>
    <t>ΡΩΜΑΝΙΔΗΣ ΘΕΩΔΩΡΟΣ</t>
  </si>
  <si>
    <t>ΓΕΟ</t>
  </si>
  <si>
    <t>ΑΚ427340</t>
  </si>
  <si>
    <t>ΡΩΜΑΝΟΣ ΑΠΟΣΤΟΛΟΣ</t>
  </si>
  <si>
    <t>Ν450750</t>
  </si>
  <si>
    <t>ΣΑΒΒΑΚΗ ΜΑΡΙΑ</t>
  </si>
  <si>
    <t>ΑΕ343872</t>
  </si>
  <si>
    <t>ΣΑΒΒΑΚΗΣ ΔΗΜΗΤΡΙΟΣ</t>
  </si>
  <si>
    <t>Σ422377</t>
  </si>
  <si>
    <t>ΣΑΒΒΙΔΗΣ ΑΛΕΞΑΝΔΡΟΣ</t>
  </si>
  <si>
    <t>Τ412578</t>
  </si>
  <si>
    <t>ΣΑΒΒΙΔΗΣ ΕΥΘΥΜΙΟΣ</t>
  </si>
  <si>
    <t>ΑΙ344954</t>
  </si>
  <si>
    <t>ΣΑΒΒΙΔΗΣ ΚΩΝΣΤΑΝΤΙΝΟΣ</t>
  </si>
  <si>
    <t>Ρ939542</t>
  </si>
  <si>
    <t>ΑΚ118459</t>
  </si>
  <si>
    <t>ΣΑΒΒΙΔΗΣ ΧΡΗΣΤΟΣ</t>
  </si>
  <si>
    <t>ΑΚ884093</t>
  </si>
  <si>
    <t>ΣΑΒΒΙΔΟΥ ΑΝΝΑ</t>
  </si>
  <si>
    <t>ΑΙ893499</t>
  </si>
  <si>
    <t>ΣΑΒΒΙΔΟΥ ΔΗΜΗΤΡΑ</t>
  </si>
  <si>
    <t>ΑΒ722426</t>
  </si>
  <si>
    <t>ΣΑΒΕΛΙΔΗ ΦΩΤΕΙΝΗ</t>
  </si>
  <si>
    <t>ΑΚ 313601</t>
  </si>
  <si>
    <t>ΣΑΒΛΑΚΗ ΗΣΑΙΑ</t>
  </si>
  <si>
    <t>ΑΚ925081</t>
  </si>
  <si>
    <t>ΣΑΒΛΑΚΗΣ ΣΤΕΦΑΝΟΣ</t>
  </si>
  <si>
    <t>ΑΙ707890</t>
  </si>
  <si>
    <t>ΣΑΒΛΙΔΗΣ ΜΕΡΑΜΠΙ</t>
  </si>
  <si>
    <t>ΑΝ414670</t>
  </si>
  <si>
    <t>ΣΑΒΟΥΛΙΔΟΥ ΜΑΡΙΑ</t>
  </si>
  <si>
    <t>ΑΗ995243</t>
  </si>
  <si>
    <t>ΣΑΓΑΝΗ ΕΥΑΓΓΕΛΙΑ</t>
  </si>
  <si>
    <t>ΑΕ726449</t>
  </si>
  <si>
    <t>ΣΑΓΑΝΗΣ ΓΕΩΡΓΙΟΣ</t>
  </si>
  <si>
    <t>ΑΜ755702</t>
  </si>
  <si>
    <t>ΣΑΙΡΟΓΛΟΥ ΝΙΚΟΛΑΟΣ</t>
  </si>
  <si>
    <t>ΑΚ928354</t>
  </si>
  <si>
    <t>ΣΑΚΑΛΗ ΣΤΥΛΙΑΝΗ</t>
  </si>
  <si>
    <t>ΑΜ223246</t>
  </si>
  <si>
    <t>ΣΑΚΕΛΛΑΡΗΣ ΑΝΑΣΤΑΣΙΟΣ</t>
  </si>
  <si>
    <t>ΕΑ799628</t>
  </si>
  <si>
    <t>ΣΑΚΕΛΛΑΡΙΟΥ ΜΑΡΙΑ</t>
  </si>
  <si>
    <t>ΑΝ012959</t>
  </si>
  <si>
    <t>ΣΑΚΚΑ ΓΛΥΚΕΡΙΑ</t>
  </si>
  <si>
    <t>ΑΗ183634</t>
  </si>
  <si>
    <t>ΣΑΚΚΑΣ ΑΛΕΞΑΝΔΡΟΣ</t>
  </si>
  <si>
    <t>ΑΗ105697</t>
  </si>
  <si>
    <t>ΣΑΚΚΑΣ ΚΩΝΣΤΑΝΤΙΝΟΣ</t>
  </si>
  <si>
    <t>ΑΖ551786</t>
  </si>
  <si>
    <t xml:space="preserve">ΣΑΚΚΙΔΗΣ ΣΑΜΨΩΝ </t>
  </si>
  <si>
    <t>ΑΒ529674</t>
  </si>
  <si>
    <t>ΣΑΛΑΚΟΥ ΧΡΥΣΟΥΛΑ</t>
  </si>
  <si>
    <t>ΑΙ747474</t>
  </si>
  <si>
    <t>ΣΑΛΕΥΡΗΣ ΣΩΚΡΑΤΗΣ</t>
  </si>
  <si>
    <t>ΑΒ770787</t>
  </si>
  <si>
    <t>ΣΑΛΗ ΚΕΝΑΝ</t>
  </si>
  <si>
    <t>ΑΝ774409</t>
  </si>
  <si>
    <t>ΣΑΛΗ ΟΓΛΟΥ ΧΑΛΗΛ</t>
  </si>
  <si>
    <t>ΑΗ414020</t>
  </si>
  <si>
    <t>ΣΑΛΗΟΓΛΟΥ ΓΙΑΣΙΑΡ</t>
  </si>
  <si>
    <t>ΑΖ662093</t>
  </si>
  <si>
    <t>ΣΑΛΙΑΓΚΟΠΟΥΛΟΣ ΘΕΟΔΩΡΟΣ</t>
  </si>
  <si>
    <t>ΑΙ801542</t>
  </si>
  <si>
    <t>ΣΑΛΙΑΜΠΟΥΚΟΣ ΕΥΣΤΡΑΤΙΟΣ</t>
  </si>
  <si>
    <t>ΑΒ933331</t>
  </si>
  <si>
    <t>ΣΑΛΙΑΜΠΟΥΧΟΥ ΜΑΡΙΑ</t>
  </si>
  <si>
    <t>ΑΕ795030</t>
  </si>
  <si>
    <t>ΣΑΛΙΚΟΠΟΥΛΟΣ ΑΘΑΝΑΣΙΟΣ</t>
  </si>
  <si>
    <t>Χ483493</t>
  </si>
  <si>
    <t>ΣΑΛΟΜΙΔΟΥ ΕΛΕΝΗ</t>
  </si>
  <si>
    <t>Σ202775</t>
  </si>
  <si>
    <t>ΣΑΛΟΝΙΚΙΔΟΥ ΕΛΕΥΘΕΡΙΑ</t>
  </si>
  <si>
    <t>Χ368221</t>
  </si>
  <si>
    <t>ΣΑΛΟΝΙΚΙΔΟΥ ΧΡΙΣΤΙΝΑ</t>
  </si>
  <si>
    <t>ΑΜ715470</t>
  </si>
  <si>
    <t>Σαλπαδημα Καλομοιρα</t>
  </si>
  <si>
    <t>Σ671145</t>
  </si>
  <si>
    <t>ΣΑΛΠΙΓΓΙΔΟΥ ΑΙΚΑΤΕΡΙΝΗ</t>
  </si>
  <si>
    <t>ΑΝ508437</t>
  </si>
  <si>
    <t>ΣΑΛΠΙΓΓΙΔΟΥ ΧΡΥΣΟΥΛΑ</t>
  </si>
  <si>
    <t>Φ250265</t>
  </si>
  <si>
    <t>ΣΑΛΤΑ ΧΡΙΣΤΙΝΑ</t>
  </si>
  <si>
    <t>ΑΒ348099</t>
  </si>
  <si>
    <t>ΣΑΛΤΟΣ ΓΕΩΡΓΙΟΣ</t>
  </si>
  <si>
    <t>Ι844724</t>
  </si>
  <si>
    <t>ΣΑΜΑΝΙΔΟΥ ΕΙΡΗΝΗ</t>
  </si>
  <si>
    <t>Σ324524</t>
  </si>
  <si>
    <t>ΣΑΜΑΡΑ ΒΙΚΤΩΡΙΑ</t>
  </si>
  <si>
    <t>Χ557760</t>
  </si>
  <si>
    <t>ΣΑΜΑΡΑΣ ΒΑΪΟΣ</t>
  </si>
  <si>
    <t>ΑΝ391949</t>
  </si>
  <si>
    <t>ΣΑΜΑΡΤΖΗ ΔΗΜΗΤΡΑ</t>
  </si>
  <si>
    <t>ΑΙ999810</t>
  </si>
  <si>
    <t>ΣΑΜΗ ΟΓΛΟΥ ΓΙΟΥΡΣΕΣ</t>
  </si>
  <si>
    <t>ΓΙΛ</t>
  </si>
  <si>
    <t>Σ608719</t>
  </si>
  <si>
    <t>ΣΑΜΙΟΣ ΠΑΝΑΓΙΩΤΗΣ</t>
  </si>
  <si>
    <t>ΑΚ345891</t>
  </si>
  <si>
    <t>ΣΑΜΙΩΤΗΣ ΚΩΝΣΤΑΝΤΙΝΟΣ</t>
  </si>
  <si>
    <t>Μ595742</t>
  </si>
  <si>
    <t>ΣΑΜΙΩΤΗΣ ΠΕΤΡΟΣ</t>
  </si>
  <si>
    <t>ΑΙ718021</t>
  </si>
  <si>
    <t>ΣΑΜΟΓΛΟΥ ΜΑΡΙΑ</t>
  </si>
  <si>
    <t>ΑΒ502625</t>
  </si>
  <si>
    <t>ΣΑΝΙΔΑ ΙΩΑΝΝΑ</t>
  </si>
  <si>
    <t>Σ322586</t>
  </si>
  <si>
    <t>ΣΑΝΤΟΡΙΝΑΙΟΣ ΝΙΚΟΛΑΟΣ</t>
  </si>
  <si>
    <t>ΑΚ493417</t>
  </si>
  <si>
    <t>ΣΑΝΤΟΡΙΝΑΙΟΥ ΕΙΡΗΝΗ</t>
  </si>
  <si>
    <t>ΑΕ440604</t>
  </si>
  <si>
    <t>ΣΑΝΤΣΑΡΙΔΗΣ ΙΟΡΔΑΝΗΣ</t>
  </si>
  <si>
    <t>ΑΕ611042</t>
  </si>
  <si>
    <t>ΣΑΞΩΝΗΣ ΓΕΩΡΓΙΟΣ</t>
  </si>
  <si>
    <t>Φ339729</t>
  </si>
  <si>
    <t>ΣΑΠΑΝΙΔΗΣ ΘΩΜΑΣ</t>
  </si>
  <si>
    <t>ΑΝ374895</t>
  </si>
  <si>
    <t>ΣΑΡΑΚΑΤΣΙΑΝΟΥ ΣΟΥΖΑΝΑ</t>
  </si>
  <si>
    <t>Π941734</t>
  </si>
  <si>
    <t>ΣΑΡΑΜΑΝΤΗΣ ΒΑΣΙΛΕΙΟΣ</t>
  </si>
  <si>
    <t>Σ906190</t>
  </si>
  <si>
    <t>ΣΑΡΑΝΤΑΚΟΥ ΕΛΕΝΗ</t>
  </si>
  <si>
    <t>ΑΒ273546</t>
  </si>
  <si>
    <t>ΣΑΡΑΝΤΟΠΟΥΛΟΣ ΠΑΥΛΟΣ</t>
  </si>
  <si>
    <t>Π529065</t>
  </si>
  <si>
    <t>ΣΑΡΑΤΖΗ ΣΤΑΜΑΤΙΑ</t>
  </si>
  <si>
    <t>Σ341110</t>
  </si>
  <si>
    <t>ΣΑΡΑΦΟΥΔΗΣ ΧΡΗΣΤΟΣ</t>
  </si>
  <si>
    <t>Χ247004</t>
  </si>
  <si>
    <t>ΣΑΡΒΑΝΙΔΟΥ ΜΑΡΙΑ</t>
  </si>
  <si>
    <t>ΑΕ044746</t>
  </si>
  <si>
    <t>ΣΑΡΕΛΗΣ ΜΑΝΩΛΗΣ</t>
  </si>
  <si>
    <t>ΑΙ989152</t>
  </si>
  <si>
    <t>ΣΑΡΗΓΙΑΝΝΙΔΗ ΑΘΗΝΑ</t>
  </si>
  <si>
    <t>Ρ628886</t>
  </si>
  <si>
    <t>ΣΑΡΗΓΙΑΝΝΙΔΗΣ ΚΩΝΣΤΑΝΤΙΝΟΣ</t>
  </si>
  <si>
    <t>Χ629467</t>
  </si>
  <si>
    <t>ΣΑΡΗΓΙΑΝΝΙΔΗΣ ΠΑΣΧΑΛΗΣ</t>
  </si>
  <si>
    <t>ΑΚ997187</t>
  </si>
  <si>
    <t>ΣΑΡΗΓΙΑΝΝΙΔΟΥ ΕΛΙΖΑΒΕΤΑ</t>
  </si>
  <si>
    <t>ΑΗ122387</t>
  </si>
  <si>
    <t>ΣΑΡΗΠΑΝΑΓΙΩΤΗΣ ΑΘΑΝΑΣΙΟΣ</t>
  </si>
  <si>
    <t>ΑΜ823425</t>
  </si>
  <si>
    <t>ΣΑΡΗΡΙΩΤΗΣ ΝΙΚΟΛΑΟΣ</t>
  </si>
  <si>
    <t>Φ226860</t>
  </si>
  <si>
    <t>ΣΑΡΚΑΤΖΗ ΜΑΡΙΑ</t>
  </si>
  <si>
    <t>Π154900</t>
  </si>
  <si>
    <t>ΣΑΡΟΥΚΟΥ ΑΝΑΣΤΑΣΙΑ</t>
  </si>
  <si>
    <t>Ξ240014</t>
  </si>
  <si>
    <t>ΣΑΡΡΗ ΧΡΙΣΤΙΝΑ</t>
  </si>
  <si>
    <t>Φ037340</t>
  </si>
  <si>
    <t>ΣΑΡΡΗΣ ΙΩΑΝΝΗΣ</t>
  </si>
  <si>
    <t>ΑΙ231494</t>
  </si>
  <si>
    <t>ΣΑΣΣΗΣ ΧΡΗΣΤΟΣ</t>
  </si>
  <si>
    <t>ΑΖ250792</t>
  </si>
  <si>
    <t>ΣΑΦΙΝΑ ΓΕΩΡΓΙΑ</t>
  </si>
  <si>
    <t>ΑΖ764401</t>
  </si>
  <si>
    <t>ΣΑΧΙΝΗΣ ΑΝΤΩΝΗΣ</t>
  </si>
  <si>
    <t>ΑΙ426478</t>
  </si>
  <si>
    <t>Σαχινίδης Δημήτριος</t>
  </si>
  <si>
    <t>ΑΙ745466</t>
  </si>
  <si>
    <t>ΣΒΑΡΝΑΣ ΔΗΜΗΤΡΙΟΣ</t>
  </si>
  <si>
    <t>Φ319607</t>
  </si>
  <si>
    <t>ΣΒΑΡΝΙΑ ΕΥΑΓΓΕΛΙΑ</t>
  </si>
  <si>
    <t>Σ987581</t>
  </si>
  <si>
    <t>ΣΓΟΥΡΑΝΘΗ ΜΗΤΣΟΥ</t>
  </si>
  <si>
    <t>ΑΗ394860</t>
  </si>
  <si>
    <t>ΣΓΟΥΡΙΔΟΥ ΙΩΑΝΝΑ</t>
  </si>
  <si>
    <t>Χ368605</t>
  </si>
  <si>
    <t xml:space="preserve">ΣΔΟΥΚΟΣ ΑΧΙΛΛΕΑΣ </t>
  </si>
  <si>
    <t>Χ397899</t>
  </si>
  <si>
    <t xml:space="preserve">Σεβδαλάκη Δέσποινα </t>
  </si>
  <si>
    <t>ΑΗ451103</t>
  </si>
  <si>
    <t>ΣΕΒΔΑΛΗΣ ΗΛΙΑΣ</t>
  </si>
  <si>
    <t>Σ866374</t>
  </si>
  <si>
    <t>ΣΕΓΓΟΥΝΗ ΣΟΦΙΑ</t>
  </si>
  <si>
    <t>AN300531</t>
  </si>
  <si>
    <t>ΣΕΙΝΤΗΣ ΠΑΝΑΓΙΩΤΗΣ</t>
  </si>
  <si>
    <t>ΑΚ728117</t>
  </si>
  <si>
    <t>ΣΕΙΤΗΣ ΙΩΑΝΝΗΣ-ΤΣΑΜΠΙΚΟΣ</t>
  </si>
  <si>
    <t>Χ320031</t>
  </si>
  <si>
    <t>ΣΕΚΕΡΟΓΛΟΥ ΑΘΑΝΑΣΙΑ</t>
  </si>
  <si>
    <t>Π259677</t>
  </si>
  <si>
    <t>ΣΕΛΙΔΗΣ ΑΝΑΣΤΑΣΙΟΣ</t>
  </si>
  <si>
    <t>Χ528074</t>
  </si>
  <si>
    <t>ΣΕΜΕΡΤΖΙΔΗΣ ΓΕΩΡΓΙΟΣ</t>
  </si>
  <si>
    <t>ΑΒ155954</t>
  </si>
  <si>
    <t>ΣΕΝΗ ΘΕΟΦΑΝΩ</t>
  </si>
  <si>
    <t>Π920592</t>
  </si>
  <si>
    <t>ΣΕΝΤΖΑ ΕΛΕΝΗ</t>
  </si>
  <si>
    <t>ΑΖ766123</t>
  </si>
  <si>
    <t>ΣΕΠΕΤΣΗ ΜΕΜΕΤΟΓΛΟΥ ΜΠΑΣΙΡΗ</t>
  </si>
  <si>
    <t>Φ042179</t>
  </si>
  <si>
    <t>ΣΕΡΓΙΝΗΣ ΝΙΚΟΛ</t>
  </si>
  <si>
    <t>ΑΒ143559</t>
  </si>
  <si>
    <t>ΣΕΡΓΚΑΝΗ ΠΟΛΥΞΕΝΗ</t>
  </si>
  <si>
    <t>ΑΖ679504</t>
  </si>
  <si>
    <t>ΣΕΡΕΤΗ ΑΓΓΕΛΙΚΗ</t>
  </si>
  <si>
    <t>ΑΖ210863</t>
  </si>
  <si>
    <t>ΣΕΡΕΤΗΣ ΣΩΤΗΡΙΟΣ</t>
  </si>
  <si>
    <t>ΑΒ422540</t>
  </si>
  <si>
    <t>ΣΕΡΗΦ ΙΜΠΡΑΗΜ</t>
  </si>
  <si>
    <t>ΚΙΑ</t>
  </si>
  <si>
    <t>ΑΖ865930</t>
  </si>
  <si>
    <t xml:space="preserve">ΣΕΡΙΦΗ ΑΝΘΟΥΛΑ </t>
  </si>
  <si>
    <t>ΑΙ818418</t>
  </si>
  <si>
    <t>ΣΕΡΛΕΤΗΣ ΝΙΚΟΛΑΟΣ</t>
  </si>
  <si>
    <t>Π196683</t>
  </si>
  <si>
    <t>ΣΕΡΤΑΡΙΔΟΥ ΚΑΛΛΙΟΠΗ</t>
  </si>
  <si>
    <t>Χ741052</t>
  </si>
  <si>
    <t>ΣΕΡΤΣΙΔΟΥ ΜΑΡΙΑ</t>
  </si>
  <si>
    <t>ΑΜ921380</t>
  </si>
  <si>
    <t>ΣΕΦΕΡ ΟΓΛΟΥ ΓΚΑΛΙΜΕ</t>
  </si>
  <si>
    <t>ΣΕΦ</t>
  </si>
  <si>
    <t>ΑΗ047774</t>
  </si>
  <si>
    <t>ΣΕΧΙΔΟΥ ΕΛΙΣΑΒΕΤ</t>
  </si>
  <si>
    <t>ΑΙ340716</t>
  </si>
  <si>
    <t>ΣΗΦΑΚΗ ΑΝΝΑ</t>
  </si>
  <si>
    <t>ΑΒ956335</t>
  </si>
  <si>
    <t>ΣΗΦΑΚΗΣ ΜΙΧΑΗΛ</t>
  </si>
  <si>
    <t>ΑΗ958043</t>
  </si>
  <si>
    <t>ΣΙΑΜΑΓΚΑ ΑΝΤΩΝΙΑ</t>
  </si>
  <si>
    <t>Χ453050</t>
  </si>
  <si>
    <t>ΣΙΑΜΑΤΡΑΣ ΑΝΤΩΝΙΟΣ-ΤΑΞΙΑΡΧΗΣ</t>
  </si>
  <si>
    <t>ΑΗ357212</t>
  </si>
  <si>
    <t>ΣΙΑΜΑΤΡΑΣ ΧΡΗΣΤΟΣ</t>
  </si>
  <si>
    <t>ΑΗ819708</t>
  </si>
  <si>
    <t>ΣΙΑΜΕΤΗΣ ΝΙΚΟΛΑΟΣ</t>
  </si>
  <si>
    <t>ΑΜ871842</t>
  </si>
  <si>
    <t>ΣΙΑΜΟΥ ΘΕΟΔΏΡΑ</t>
  </si>
  <si>
    <t>Μ548718</t>
  </si>
  <si>
    <t>ΣΙΑΜΠΑΝΟΓΛΟΥ ΝΕΖΛΙΑ</t>
  </si>
  <si>
    <t>ΑΖ675680</t>
  </si>
  <si>
    <t>ΣΙΑΠΗΣ ΚΩΝΣΤΑΝΤΙΝΟΣ</t>
  </si>
  <si>
    <t>AI323167</t>
  </si>
  <si>
    <t>ΣΙΑΠΟΥ ΚΑΛΛΙΟΠΗ</t>
  </si>
  <si>
    <t>Τ258813</t>
  </si>
  <si>
    <t>ΣΙΑΡΓΚΑΝΗ ΕΛΕΝΗ</t>
  </si>
  <si>
    <t>Χ109837</t>
  </si>
  <si>
    <t>ΣΙΑΤΗ ΚΩΝΣΤΑΝΤΙΝΑ</t>
  </si>
  <si>
    <t>Π148521</t>
  </si>
  <si>
    <t>ΣΙΑΦΡΑΚΑΣ ΝΙΚΟΛΑΟΣ</t>
  </si>
  <si>
    <t>Χ375512</t>
  </si>
  <si>
    <t>ΣΙΑΨΑΛΗ ΜΑΡΙΑ</t>
  </si>
  <si>
    <t>Π799477</t>
  </si>
  <si>
    <t>ΣΙΓΑΛΑΣ ΓΕΩΡΓΙΟΣ</t>
  </si>
  <si>
    <t>Π356772</t>
  </si>
  <si>
    <t>ΣΙΔΕΡΗ ΜΑΡΙΑ</t>
  </si>
  <si>
    <t>Φ026449</t>
  </si>
  <si>
    <t>ΣΙΔΕΡΗΣ ΙΣΙΔΩΡΟΣ</t>
  </si>
  <si>
    <t>Ν591359</t>
  </si>
  <si>
    <t>ΣΙΔΕΡΗΣ ΣΤΕΦΑΝΟΣ</t>
  </si>
  <si>
    <t>ΑΙ550466</t>
  </si>
  <si>
    <t>ΣΙΔΗΡΑΣ ΓΕΩΡΓΙΟΣ</t>
  </si>
  <si>
    <t>ΑΙ420187</t>
  </si>
  <si>
    <t>ΣΙΔΗΡΟΠΟΥΛΟΣ KΩΝΣΤΑΝΤΙΝΟΣ</t>
  </si>
  <si>
    <t>ΑΜ871480</t>
  </si>
  <si>
    <t>ΣΙΔΗΡΟΠΟΥΛΟΣ ΑΝΔΡΕΑΣ</t>
  </si>
  <si>
    <t>ΑΚ027695</t>
  </si>
  <si>
    <t>ΣΙΔΗΡΟΠΟΥΛΟΣ ΗΡΑΚΛΗΣ</t>
  </si>
  <si>
    <t>Π179430</t>
  </si>
  <si>
    <t>ΣΙΔΗΡΟΠΟΥΛΟΣ ΠΑΥΛΟΣ</t>
  </si>
  <si>
    <t>ΑΙ719121</t>
  </si>
  <si>
    <t>ΣΙΔΗΡΟΠΟΥΛΟΣ ΣΩΤΗΡΙΟΣ</t>
  </si>
  <si>
    <t>ΑΜ368401</t>
  </si>
  <si>
    <t>ΣΙΔΗΡΟΠΟΥΛΟΥ ΑΝΑΣΤΑΣΙΑ</t>
  </si>
  <si>
    <t>ΑΜ047357</t>
  </si>
  <si>
    <t>ΣΙΔΗΡΟΠΟΥΛΟΥ ΑΝΝΑ</t>
  </si>
  <si>
    <t>Χ964421</t>
  </si>
  <si>
    <t>ΣΙΔΗΡΟΠΟΥΛΟΥ ΔΕΣΠΟΙΝΑ</t>
  </si>
  <si>
    <t>ΑΙ588001</t>
  </si>
  <si>
    <t>ΣΙΔΗΡΟΠΟΥΛΟΥ ΖΩΗ</t>
  </si>
  <si>
    <t>Π291951</t>
  </si>
  <si>
    <t>Ρ011674</t>
  </si>
  <si>
    <t>ΣΙΔΗΡΟΠΟΥΛΟΥ ΚΕΡΑΣΑ</t>
  </si>
  <si>
    <t>Ρ690715</t>
  </si>
  <si>
    <t>ΣΙΔΗΡΟΠΟΥΛΟΥ ΚΥΡΙΑΚΗ</t>
  </si>
  <si>
    <t>ΑΕ044583</t>
  </si>
  <si>
    <t>ΣΙΔΗΡΟΠΟΥΛΟΥ ΣΟΦΙΑ</t>
  </si>
  <si>
    <t>Τ523797</t>
  </si>
  <si>
    <t>ΣΙΕΛΟΥΛΗΣ ΔΗΜΟΣ</t>
  </si>
  <si>
    <t>Φ244843</t>
  </si>
  <si>
    <t>ΣΙΛΒΕΣΤΡΟΥ ΚΥΡΙΑΚΗ</t>
  </si>
  <si>
    <t>ΑΖ652631</t>
  </si>
  <si>
    <t>ΣΙΛΕΛΙΔΟΥ ΔΕΣΠΟΙΝΑ</t>
  </si>
  <si>
    <t>ΑΑ936335</t>
  </si>
  <si>
    <t>ΣΙΜΕΛΙΔΟΥ ΠΑΡΘΕΝΑ</t>
  </si>
  <si>
    <t>Τ376876</t>
  </si>
  <si>
    <t>ΣΙΜΟΝΟΒ ΙΩΑΝΝΗΣ</t>
  </si>
  <si>
    <t>Χ957714</t>
  </si>
  <si>
    <t>ΣΙΜΟΣ ΚΩΝΣΤΑΝΤΙΝΟΣ</t>
  </si>
  <si>
    <t>ΑΚ254335</t>
  </si>
  <si>
    <t>ΣΙΜΟΥ ΒΑΡΣΑΜΩ</t>
  </si>
  <si>
    <t>ΑΑ428193</t>
  </si>
  <si>
    <t>ΣΙΜΟΥ ΜΑΡΙΑ</t>
  </si>
  <si>
    <t>ΑΒ619577</t>
  </si>
  <si>
    <t>ΣΙΝΑΘΗ ΕΙΡΗΝΗ</t>
  </si>
  <si>
    <t>ΑΜ886664</t>
  </si>
  <si>
    <t>ΣΙΝΑΝΗΣ ΚΩΝΣΤΑΝΤΙΝΟΣ</t>
  </si>
  <si>
    <t>ΑΙ615452</t>
  </si>
  <si>
    <t>ΣΙΟΥΤΗ ΕΥΑΓΓΕΛΙΑ</t>
  </si>
  <si>
    <t>ΚΩΤ</t>
  </si>
  <si>
    <t>ΑΜ357782</t>
  </si>
  <si>
    <t>ΣΙΟΥΤΗ ΣΤΑΥΡ</t>
  </si>
  <si>
    <t>ΑΑ062831</t>
  </si>
  <si>
    <t>ΣΙΡΓΟΥΔΗΣ ΣΤΥΛΙΑΝΟΣ</t>
  </si>
  <si>
    <t>ΑΜ437390</t>
  </si>
  <si>
    <t>ΣΙΡΙΝΙΔΟΥ ΠΑΡΘΕΝΑ</t>
  </si>
  <si>
    <t>Σ542940</t>
  </si>
  <si>
    <t>ΣΙΣΚΟΣ ΙΩΑΝΝΗΣ</t>
  </si>
  <si>
    <t>Χ123636</t>
  </si>
  <si>
    <t>ΣΙΣΚΟΥ ΕΛΕΥΘΕΡΙΑ</t>
  </si>
  <si>
    <t>Ξ688261</t>
  </si>
  <si>
    <t>ΣΙΤΑΡΑ ΑΝΝΑ</t>
  </si>
  <si>
    <t>Τ498808</t>
  </si>
  <si>
    <t>ΣΙΤΟΓΛΟΥ ΜΑΤΘΑΙΟΣ</t>
  </si>
  <si>
    <t>Χ857233</t>
  </si>
  <si>
    <t>ΣΙΦΙΝΟΣ ΙΩΑΝΝΗΣ</t>
  </si>
  <si>
    <t>ΑΙ549133</t>
  </si>
  <si>
    <t xml:space="preserve">ΣΙΦΝΑΙΟΥ ΜΑΡΙΑ </t>
  </si>
  <si>
    <t>Χ177706</t>
  </si>
  <si>
    <t>ΣΙΩΜΟΥ ΑΡΕΤΗ</t>
  </si>
  <si>
    <t>Φ051904</t>
  </si>
  <si>
    <t>ΣΙΩΠΑ ΑΙΚΑΤΕΡΙΝΗ</t>
  </si>
  <si>
    <t>Ρ817790</t>
  </si>
  <si>
    <t>ΣΙΩΠΗ ΙΩΑΝΝΑ</t>
  </si>
  <si>
    <t>ΑΑ034174</t>
  </si>
  <si>
    <t>ΣΙΩΠΗΣ ΛΑΖΑΡ</t>
  </si>
  <si>
    <t>ΑΙ891224</t>
  </si>
  <si>
    <t>ΣΚΑΛΚΟΓΙΑΝΝΗΣ ΧΑΡΑΛΑΜΠΟΣ</t>
  </si>
  <si>
    <t>ΑΖ578984</t>
  </si>
  <si>
    <t>ΣΚΑΛΟΧΩΡΙΤΗ ΑΘΑΝΑΣΙΑ</t>
  </si>
  <si>
    <t>ΑΜ926779</t>
  </si>
  <si>
    <t>ΣΚΑΜΠΑΡΔΩΝΗΣ ΠΑΝΑΓΙΩΤΗΣ</t>
  </si>
  <si>
    <t>ΑΜ310227</t>
  </si>
  <si>
    <t>ΣΚΑΝΔΑΛΑΚΗΣ ΚΥΡΙΑΚΟΣ</t>
  </si>
  <si>
    <t>Χ495770</t>
  </si>
  <si>
    <t>ΣΚΑΝΔΑΛΟΥ ΜΑΡΙΑ</t>
  </si>
  <si>
    <t>Ι 840127</t>
  </si>
  <si>
    <t>ΣΚΑΡΑΚΗ ΜΑΡΙΑ</t>
  </si>
  <si>
    <t>ΑΕ970807</t>
  </si>
  <si>
    <t>ΣΚΑΡΛΑΤΟΣ ΓΕΩΡΓΙΟΣ</t>
  </si>
  <si>
    <t>ΑΒ268596</t>
  </si>
  <si>
    <t>ΣΚΑΡΠΟΥ ΘΕΟΔΩΡΑ</t>
  </si>
  <si>
    <t>Ρ953217</t>
  </si>
  <si>
    <t>ΣΚΑΦΙΔΑΣ ΦΩΤΙΟΣ</t>
  </si>
  <si>
    <t>ΑΒ586017</t>
  </si>
  <si>
    <t>ΣΚΕΝΤΕΡΙΔΗΣ ΙΩΑΝΝΗΣ</t>
  </si>
  <si>
    <t>ΑΖ698524</t>
  </si>
  <si>
    <t>ΣΚΕΠΕΤΑΡΗΣ ΘΕΟΦΑΝΗΣ</t>
  </si>
  <si>
    <t>Π350890</t>
  </si>
  <si>
    <t>ΣΚΕΠΤΑΡΗΣ ΑΘΑΝΑΣΙΟΣ</t>
  </si>
  <si>
    <t>ΑΕ249493</t>
  </si>
  <si>
    <t>ΔΗΜΟΣ ΜΕΓΑΝΗΣΙΟΥ ΛΕΥΚΑΔΑΣ</t>
  </si>
  <si>
    <t>ΣΚΙΑΔΑ ΓΕΩΡΓΙΑ</t>
  </si>
  <si>
    <t>ΑΙ777957</t>
  </si>
  <si>
    <t>ΣΚΙΑΔΑΣ ΝΙΚΟΛΑΟΣ</t>
  </si>
  <si>
    <t>ΑΒ175007</t>
  </si>
  <si>
    <t>ΣΚΙΑΘΙΤΗΣ ΓΕΩΡΓΙΟΣ</t>
  </si>
  <si>
    <t>Ν927281</t>
  </si>
  <si>
    <t xml:space="preserve">ΣΚΙΑΘΙΤΗΣ ΓΕΩΡΓΙΟΣ </t>
  </si>
  <si>
    <t>Χ321797</t>
  </si>
  <si>
    <t>ΣΚΙΑΘΙΤΗΣ ΕΜΜΑΝΟΥΗΛ</t>
  </si>
  <si>
    <t>ΑΜ932231</t>
  </si>
  <si>
    <t>ΣΚΙΒΑΛΑΚΗ ΦΩΤΕΙΝΗ</t>
  </si>
  <si>
    <t>ΑΙ444703</t>
  </si>
  <si>
    <t>ΣΚΙΝΤΖΟΣ ΓΕΩΡΓΙΟΣ</t>
  </si>
  <si>
    <t>ΑΜ234964</t>
  </si>
  <si>
    <t xml:space="preserve">ΣΚΙΤΣΑ ΑΝΑΣΤΑΣΙΑ </t>
  </si>
  <si>
    <t>ΑΝ502222</t>
  </si>
  <si>
    <t>ΣΚΙΩΤΗ ΑΝΑΣΤΑΣΙΑ</t>
  </si>
  <si>
    <t>ΑΜ411313</t>
  </si>
  <si>
    <t>ΣΚΛΑΒΟΣ ΙΩΑΝΝΗΣ</t>
  </si>
  <si>
    <t>Π023808</t>
  </si>
  <si>
    <t>ΣΚΛΑΒΟΥΝΟΥ ΝΙΚΟΛΕΤΤΑ</t>
  </si>
  <si>
    <t>Ν796651</t>
  </si>
  <si>
    <t>ΣΚΟΔΡΑ ΘΕΟΦΑΝΙΑ</t>
  </si>
  <si>
    <t>ΑΚ153139</t>
  </si>
  <si>
    <t>ΣΚΟΝΔΡΑ ΕΛΕΥΘΕΡΙΑ</t>
  </si>
  <si>
    <t>ΑΗ659501</t>
  </si>
  <si>
    <t>ΣΚΟΡΔΙΛΗΣ ΝΙΚΟΛΑΟΣ ΣΠΥ</t>
  </si>
  <si>
    <t>Ν225848</t>
  </si>
  <si>
    <t>ΣΚΟΡΔΟΥΛΗ ΜΑΡΙΑ</t>
  </si>
  <si>
    <t>Ρ432266</t>
  </si>
  <si>
    <t>ΣΚΟΤΙΝΙΩΤΗΣ ΑΘΑΝΑΣΙΟΣ</t>
  </si>
  <si>
    <t>ΑΜ370167</t>
  </si>
  <si>
    <t>ΣΚΟΥΛΑΞΕΝΟΥ ΠΑΡΑΣΚΕΥΗ</t>
  </si>
  <si>
    <t>ΑΑ074962</t>
  </si>
  <si>
    <t>ΣΚΟΥΛΑΡΙΩΤΗ ΧΡΥΣΟΥΛΑ</t>
  </si>
  <si>
    <t>ΑΚ905352</t>
  </si>
  <si>
    <t>ΣΚΟΥΛΟΥ ΧΡΙΣΤΙΝΑ</t>
  </si>
  <si>
    <t>Ρ235527</t>
  </si>
  <si>
    <t>ΣΚΟΥΜΠΑ ΜΑΡΙΑ</t>
  </si>
  <si>
    <t>ΑΗ817574</t>
  </si>
  <si>
    <t>ΣΚΟΥΜΠΡΗ  ΕΛΕΝΗ</t>
  </si>
  <si>
    <t>ΑΝ987302</t>
  </si>
  <si>
    <t>ΣΚΟΥΡΑ ΑΙΚΑΤΕΡΙΝΗ</t>
  </si>
  <si>
    <t>ΑΝ847114</t>
  </si>
  <si>
    <t>ΣΚΟΥΡΑ ΒΑΓΙΑ</t>
  </si>
  <si>
    <t>Χ350162</t>
  </si>
  <si>
    <t>ΣΚΟΥΤΕΛΗΣ ΓΕΩΡΓΙΟΣ</t>
  </si>
  <si>
    <t>ΑΚ468585</t>
  </si>
  <si>
    <t>ΣΚΡΑΠΑ ΘΕΟΔΩΡΑ</t>
  </si>
  <si>
    <t>Σ299825</t>
  </si>
  <si>
    <t>ΣΚΥΤΟΠΟΥΛΟΣ ΛΑΖΑΡΟΣ</t>
  </si>
  <si>
    <t>ΑΗ288314</t>
  </si>
  <si>
    <t>ΣΛΟΥΠΚΑ ΜΑΡΙΑ</t>
  </si>
  <si>
    <t>ΑΖ798892</t>
  </si>
  <si>
    <t>ΣΜΕΤΟΠΟΥΛΟΥ ΣΟΦΙΑ</t>
  </si>
  <si>
    <t>ΑΚΥ</t>
  </si>
  <si>
    <t>Χ657836</t>
  </si>
  <si>
    <t>ΣΜΠΥΡΑΚΗΣ ΓΕΩΡΓΙΟΣ</t>
  </si>
  <si>
    <t>ΑΝ474691</t>
  </si>
  <si>
    <t>ΣΜΥΡΛΗ ΑΝΔΡΟΜΑΧΗ</t>
  </si>
  <si>
    <t>Σ462226</t>
  </si>
  <si>
    <t>ΣΜΥΡΛΟΓΛΟΥ ΕΥΣΤΑΘΙΑ</t>
  </si>
  <si>
    <t>Σ155605</t>
  </si>
  <si>
    <t>ΣΜΥΡΝΑΙΟΥ ΚΛΕΟΠΑΤΡΑ</t>
  </si>
  <si>
    <t>ΑΒ641354</t>
  </si>
  <si>
    <t xml:space="preserve">ΣΜΥΡΝΑΚΗ  ΣΤΥΛΙΑΝΗ </t>
  </si>
  <si>
    <t>Π495920</t>
  </si>
  <si>
    <t>ΣΜΥΡΝΙΩΤΗ ΑΛΕΞΑΝΔΡΑ</t>
  </si>
  <si>
    <t>ΑΕ231002</t>
  </si>
  <si>
    <t>ΣΟΒΑΤΖΗΣ ΣΩΤΗΡΙΟΣ</t>
  </si>
  <si>
    <t>ΑΒ149914</t>
  </si>
  <si>
    <t>ΣΟΓΙΑΝΝΗ ΜΑΡΙΝΑ</t>
  </si>
  <si>
    <t>ΑΜ423702</t>
  </si>
  <si>
    <t>ΣΟΙΔΟΥ ΑΝΔΡΟΜΑΧΗ</t>
  </si>
  <si>
    <t>ΑΕ890893</t>
  </si>
  <si>
    <t>ΣΟΙΛΕΜΕΖΙΔΟΥ ΕΛΕΝΗ</t>
  </si>
  <si>
    <t>Χ757446</t>
  </si>
  <si>
    <t>ΣΟΙΛΕΜΕΖΙΔΟΥ  ΧΡΥΣΟΥΛΑ</t>
  </si>
  <si>
    <t>ΑΑ228656</t>
  </si>
  <si>
    <t>ΣΟΝΑΡΙΔΟΥ ΕΛΙΣΑΒΕΤ</t>
  </si>
  <si>
    <t>ΑΖ883886</t>
  </si>
  <si>
    <t>ΣΟΝΟΒΙΔΗΣ ΓΕΩΡΓΙΟΣ</t>
  </si>
  <si>
    <t>ΑΗ334771</t>
  </si>
  <si>
    <t>ΣΟΠΙΛΙΔΗΣ ΧΑΡΑΛΑΜΠΟΣ</t>
  </si>
  <si>
    <t>Π681262</t>
  </si>
  <si>
    <t>ΣΟΥΓΙΟΥΚΛΟΥ  ΧΡΙΣΤΙΝΑ</t>
  </si>
  <si>
    <t>Τ291027</t>
  </si>
  <si>
    <t xml:space="preserve">ΣΟΥΛΑΣ ΓΕΩΡΓΙΟΣ </t>
  </si>
  <si>
    <t>ΑΗ737112</t>
  </si>
  <si>
    <t>ΣΟΥΛΑΣ ΝΙΚΟΣ</t>
  </si>
  <si>
    <t>ΑΙ136096</t>
  </si>
  <si>
    <t>ΣΟΥΛΕΙΜΑΝ ΟΓΛΟΥ ΙΣΜΑΗΛ</t>
  </si>
  <si>
    <t>ΣΟΥ</t>
  </si>
  <si>
    <t>ΑΝ110702</t>
  </si>
  <si>
    <t>ΣΟΥΛΕΛΕ ΑΝΑΣΤΑΣΙΑ</t>
  </si>
  <si>
    <t>ΑΕ573306</t>
  </si>
  <si>
    <t>ΣΟΥΛΕΛΕ ΣΤΑΥΡΟΥΛΑ</t>
  </si>
  <si>
    <t>ΑΒ663419</t>
  </si>
  <si>
    <t>ΣΟΥΛΕΛΕ ΧΡΙΣΤΙΝΑ-ΑΝΝΑ</t>
  </si>
  <si>
    <t>ΑΜ301905</t>
  </si>
  <si>
    <t>ΣΟΥΛΙΜΙΩΤΗΣ ΣΤΥΛΙΑΝΟΣ</t>
  </si>
  <si>
    <t>ΑΙ651642</t>
  </si>
  <si>
    <t>ΣΟΥΛΙΩΤΗ ΝΙΚΗ</t>
  </si>
  <si>
    <t>Ξ483860</t>
  </si>
  <si>
    <t>ΣΟΥΛΙΩΤΗΣ ΑΝΑΡΓΥΡΟΣ</t>
  </si>
  <si>
    <t>ΑΖ940786</t>
  </si>
  <si>
    <t>ΣΟΥΛΟΥΚΙΔΟΥ ΖΩΙΤΣΑ</t>
  </si>
  <si>
    <t>Τ045153</t>
  </si>
  <si>
    <t>ΣΟΥΝΔΗΣ ΧΡΗΣΤΟΣ</t>
  </si>
  <si>
    <t>ΑΝ347546</t>
  </si>
  <si>
    <t>ΣΟΥΝΤΟΥΛΙΔΗΣ ΑΝΕΣΤΗΣ</t>
  </si>
  <si>
    <t>ΑΕ638149</t>
  </si>
  <si>
    <t>ΣΟΥΞΕ ΓΕΩΡΓΙΑ</t>
  </si>
  <si>
    <t>Π054547</t>
  </si>
  <si>
    <t>ΣΟΥΠΙΩΝΗ ΝΙΚΟΛΕΤΑ</t>
  </si>
  <si>
    <t>ΑΒ824847</t>
  </si>
  <si>
    <t>ΣΟΥΠΙΩΝΗΣ ΚΩΝΣΤΑΝΤΙΝΟΣ</t>
  </si>
  <si>
    <t>ΑΙ273379</t>
  </si>
  <si>
    <t>ΣΟΥΡΑΝΗΣ ΙΩΑΝΝΗΣ</t>
  </si>
  <si>
    <t>Σ642942</t>
  </si>
  <si>
    <t>ΣΟΥΡΛΗΣ ΘΕΟΔΩΡΟΣ</t>
  </si>
  <si>
    <t>ΑΖ567008</t>
  </si>
  <si>
    <t>ΣΟΥΡΛΗΣ ΝΙΚΟΛΑΟΣ</t>
  </si>
  <si>
    <t>Φ083476</t>
  </si>
  <si>
    <t>ΣΟΥΤΑΣ ΝΙΚΟΛ</t>
  </si>
  <si>
    <t>ΑΑ074112</t>
  </si>
  <si>
    <t>ΣΟΥΤΑΣ ΣΩΤΗΡΙΟΣ</t>
  </si>
  <si>
    <t>ΑΙ043121</t>
  </si>
  <si>
    <t>ΣΟΥΤΑΣ ΧΑΡΑΛΑΜΠΟΣ</t>
  </si>
  <si>
    <t>ΑΚ042790</t>
  </si>
  <si>
    <t>ΣΟΦΙΑΝΑΡΗ ΑΣΗΜΕΝΙΑ</t>
  </si>
  <si>
    <t>ΑΚ871875</t>
  </si>
  <si>
    <t>ΣΟΦΙΑΝΙΔΗ ΑΝΑΣΤΑΣΙΑ</t>
  </si>
  <si>
    <t>ΑΗ062349</t>
  </si>
  <si>
    <t>ΣΟΦΙΑΝΙΔΗΣ ΑΥΞΕΝΤΙΟΣ</t>
  </si>
  <si>
    <t>ΑΙ110045</t>
  </si>
  <si>
    <t>ΣΟΦΙΑΝΟΣ ΧΡΗΣΤΟΣ</t>
  </si>
  <si>
    <t>ΑΙ787564</t>
  </si>
  <si>
    <t>Σ450275</t>
  </si>
  <si>
    <t>ΣΟΦΙΚΙΤΗ ΛΟΥΙΖΑ</t>
  </si>
  <si>
    <t>Σ001283</t>
  </si>
  <si>
    <t>ΣΟΦΟΥ ΒΙΛΕΛΜΙΝΗ</t>
  </si>
  <si>
    <t>Φ296118</t>
  </si>
  <si>
    <t>ΣΟΦΤΑ ΣΑΛΙΕ</t>
  </si>
  <si>
    <t>ΑΖ402989</t>
  </si>
  <si>
    <t>ΣΠΑΘΑΡΑΣ ΔΗΜΗΤΡΙΟΣ</t>
  </si>
  <si>
    <t>Ν856884</t>
  </si>
  <si>
    <t>ΣΠΑΘΑΡΑΣ ΧΡΥΣΟΒΑΛΑΝΤΗΣ</t>
  </si>
  <si>
    <t>ΑΑ319645</t>
  </si>
  <si>
    <t>ΣΠΑΘΑΡΟΣ ΚΩΝΣΤΑΝΤΙΝΟΣ</t>
  </si>
  <si>
    <t>ΑΕ466400</t>
  </si>
  <si>
    <t>ΣΠΑΝΑΚΗ ΓΑΛΑΤΕΙΑ</t>
  </si>
  <si>
    <t>Φ339351</t>
  </si>
  <si>
    <t>ΣΠΑΝΑΚΗ ΜΑΡΙΑ</t>
  </si>
  <si>
    <t>ΑΕ965879</t>
  </si>
  <si>
    <t>ΣΠΑΝΔΑΝΟΠΟΥΛΟΥ ΧΡΥΣΑΝΘΗ</t>
  </si>
  <si>
    <t>ΑΒ327023</t>
  </si>
  <si>
    <t>ΣΠΑΝΔΟΣ ΘΕΟΔΩΡΟΣ</t>
  </si>
  <si>
    <t>Ρ759353</t>
  </si>
  <si>
    <t>ΣΠΑΝΟΜΗΤΣΟΥ ΟΛΓΑ</t>
  </si>
  <si>
    <t>ΑΒ393821</t>
  </si>
  <si>
    <t>ΣΠΑΝΟΠΟΥΛΟΥ ΕΛΕΝΗ</t>
  </si>
  <si>
    <t>Τ021341</t>
  </si>
  <si>
    <t>ΣΠΑΝΟΣ ΖΑΧΑΡΙΑΣ</t>
  </si>
  <si>
    <t>ΑΖ441719</t>
  </si>
  <si>
    <t>ΣΠΑΝΟΣ ΝΙΚΟΛΑΟΣ</t>
  </si>
  <si>
    <t>ΑΚ312494</t>
  </si>
  <si>
    <t>ΣΠΑΝΟΣ ΦΑΝΗΣ</t>
  </si>
  <si>
    <t>ΑΝ076259</t>
  </si>
  <si>
    <t>ΣΠΑΝΟΥ ΑΛΚΜΗΝΗ</t>
  </si>
  <si>
    <t>ΑΑ255644</t>
  </si>
  <si>
    <t>ΣΠΑΝΟΥ ΔΗΜΗΤΡΑ</t>
  </si>
  <si>
    <t>ΑΒ012950</t>
  </si>
  <si>
    <t>ΣΠΑΝΟΥ ΕΥΑΝΘΙΑ</t>
  </si>
  <si>
    <t>ΑΖ954483</t>
  </si>
  <si>
    <t>ΣΠΑΝΟΥΔΑΚΗΣ ΚΩΝΣΤΑΝΤΙΝΟΣ</t>
  </si>
  <si>
    <t>ΑΗ474898</t>
  </si>
  <si>
    <t>ΣΠΑΝΟΥΔΗ ΒΙΚΤΩΡΙΑ</t>
  </si>
  <si>
    <t>ΑΕ678352</t>
  </si>
  <si>
    <t>ΣΠΑΡΗ ΑΘΑΝΑΣΙΑ</t>
  </si>
  <si>
    <t>Φ483835</t>
  </si>
  <si>
    <t>ΣΠΑΤΑΛΑ ΣΤΕΛΛΑ</t>
  </si>
  <si>
    <t>Φ350536</t>
  </si>
  <si>
    <t>ΣΠΑΤΟΥΛΑ ΒΑΣΙΛΙΚΗ</t>
  </si>
  <si>
    <t>ΑΗ581793</t>
  </si>
  <si>
    <t>ΣΠΑΤΟΥΛΑ ΣΠΥΡΙΔΟΥΛΑ</t>
  </si>
  <si>
    <t>ΑΕ297349</t>
  </si>
  <si>
    <t>ΣΠΙΓΓΟΥ ΑΙΚΑΤΕΡΙΝΗ</t>
  </si>
  <si>
    <t>Ρ864241</t>
  </si>
  <si>
    <t>ΣΠΥΡΑΚΗΣ ΓΕΩΡΓΙΟΣ</t>
  </si>
  <si>
    <t>ΑΖ602677</t>
  </si>
  <si>
    <t>ΣΠΥΡΙΔΑΚΗ ΙΩΑΝΝΑ</t>
  </si>
  <si>
    <t>Σ425826</t>
  </si>
  <si>
    <t>ΣΠΥΡΙΔΗ  ΣΥΛΒΙΑ</t>
  </si>
  <si>
    <t>Μ794519</t>
  </si>
  <si>
    <t>ΣΠΥΡΙΔΟΠΟΥΛΟΣ ΜΙΛΤΙΑΔΗΣ</t>
  </si>
  <si>
    <t>ΑΒ608084</t>
  </si>
  <si>
    <t>ΣΠΥΡΙΔΟΠΟΥΛΟΣ ΝΙΚΟΛΑΟΣ</t>
  </si>
  <si>
    <t>ΑΙ070236</t>
  </si>
  <si>
    <t>ΣΠΥΡΙΔΟΥ ZHNAIΔΑ</t>
  </si>
  <si>
    <t>ΑΖ177525</t>
  </si>
  <si>
    <t>ΣΠΥΡΙΔΟΥ ΔΕΣΠΟΙΝΑ</t>
  </si>
  <si>
    <t>ΑΕ400652</t>
  </si>
  <si>
    <t>ΣΠΥΡΙΔΩΝΗ ΠΕΤΡΟΥΛΑ</t>
  </si>
  <si>
    <t>ΑΕ812165</t>
  </si>
  <si>
    <t>ΣΠΥΡΟΠΟΥΛΟΣ ΓΕΩΡΓΙΟΣ</t>
  </si>
  <si>
    <t>ΑΒ443066</t>
  </si>
  <si>
    <t>ΣΠΥΡΟΥ ΜΙΛΙΤΣΑ</t>
  </si>
  <si>
    <t>ΑΚ559469</t>
  </si>
  <si>
    <t>ΣΠΥΡΟΥ ΧΡΗΣΤΟΣ</t>
  </si>
  <si>
    <t>ΑΒ806809</t>
  </si>
  <si>
    <t>ΣΥΝΔΕΣΜΟΣ ΔΙΑΧΕΙΡΙΣΗΣ ΠΕΡΙΒΑΛΛΟΝΤΟΣ ΔΗΜΩΝ Ν. ΚΑΖΑΝΤΖΑΚΗ - ΑΡΧΑΝΩΝ - ΤΕΜΕΝΟΥΣ</t>
  </si>
  <si>
    <t>ΥΕ ΓΕΝΙΚΩΝ ΚΑΘΗΚΟΝΤΩΝ - ΚΑΘΑΡΙΟΤΗΤΑΣ</t>
  </si>
  <si>
    <t>ΣΤΑΒΑΡΑ ΒΑΣΙΛΙΚΗ</t>
  </si>
  <si>
    <t>Σ459532</t>
  </si>
  <si>
    <t>ΣΤΑΓΙΑΝΟΣ ΚΩΝΣΤΑΝΤΙΝΟΣ</t>
  </si>
  <si>
    <t>Π632707</t>
  </si>
  <si>
    <t>ΣΤΑΘΑΚΗ ΧΡΥΣΑΝΘΗ</t>
  </si>
  <si>
    <t>ΑΙ455767</t>
  </si>
  <si>
    <t>ΣΤΑΘΑΚΗΣ ΓΕΩΡΓΙΟΣ</t>
  </si>
  <si>
    <t>ΑΜ467717</t>
  </si>
  <si>
    <t>ΣΤΑΘΑΚΗΣ ΔΗΜΗΤΡΗΣ</t>
  </si>
  <si>
    <t>Ρ091732</t>
  </si>
  <si>
    <t>ΣΤΑΘΑΡΑΣ ΙΩΑΝΝΗΣ</t>
  </si>
  <si>
    <t>ΑΒ494005</t>
  </si>
  <si>
    <t>ΣΤΑΘΗ ΣΜΑΡΑΓΔΗ</t>
  </si>
  <si>
    <t>ΑΜ377293</t>
  </si>
  <si>
    <t>ΣΤΑΘΟΠΟΥΛΟΣ ΙΩΑΝΝΗΣ</t>
  </si>
  <si>
    <t>Ν525830</t>
  </si>
  <si>
    <t>ΣΤΑΘΟΠΟΥΛΟΥ ΒΑΣΙΛΙΚΗ</t>
  </si>
  <si>
    <t>ΑΒ757893</t>
  </si>
  <si>
    <t>ΣΤΑΘΟΠΟΥΛΟΥ ΕΙΡΗΝΗ</t>
  </si>
  <si>
    <t>Χ304010</t>
  </si>
  <si>
    <t>ΣΤΑΘΟΠΟΥΛΟΥ ΠΗΝΕΛΟΠΗ</t>
  </si>
  <si>
    <t>ΑΜ300908</t>
  </si>
  <si>
    <t>ΣΤΑΘΟΥΣΗ ΑΙΚΑΤΕΡΙΝΗ</t>
  </si>
  <si>
    <t>Ρ779012</t>
  </si>
  <si>
    <t>ΣΤΑΜΑΤΑΚΗ ΖΩΗ</t>
  </si>
  <si>
    <t>ΑΚ795299</t>
  </si>
  <si>
    <t>ΣΤΑΜΑΤΑΚΗ ΚΩΣΤΟΥΛΑ</t>
  </si>
  <si>
    <t>Σ867927</t>
  </si>
  <si>
    <t>ΣΤΑΜΑΤΑΚΗΣ ΙΩΑΝΝΗΣ</t>
  </si>
  <si>
    <t>Σ427889</t>
  </si>
  <si>
    <t>ΣΤΑΜΑΤΕΛΟΠΟΥΛΟΣ ΚΩΝΣΤΑΝΤΙΝΟΣ</t>
  </si>
  <si>
    <t>ΑΚ345182</t>
  </si>
  <si>
    <t>ΣΤΑΜΑΤΕΛΟΠΟΥΛΟΥ ΜΑΡΓΑΡΙΤΑ</t>
  </si>
  <si>
    <t>ΑΙ095516</t>
  </si>
  <si>
    <t>ΣΤΑΜΑΤΗ ΕΥΑΓΓΕΛΙΑ</t>
  </si>
  <si>
    <t>ΑΖ032572</t>
  </si>
  <si>
    <t>ΣΤΑΜΑΤΟΠΟΥΛΟΥ ΑΓΓΕΛΙΚΗ</t>
  </si>
  <si>
    <t>Τ863155</t>
  </si>
  <si>
    <t>ΣΤΑΜΑΤΟΠΟΥΛΟΥ ΑΝΘΗ</t>
  </si>
  <si>
    <t>ΚΑΡ</t>
  </si>
  <si>
    <t>ΑΑ263340</t>
  </si>
  <si>
    <t>ΣΤΑΜΑΤΟΠΟΥΛΟΥ ΓΕΩΡΓΙΑ</t>
  </si>
  <si>
    <t>Τ192730</t>
  </si>
  <si>
    <t>ΣΤΑΜΑΤΟΠΟΥΛΟΥ ΜΑΡΓΑΡΙΤΑ</t>
  </si>
  <si>
    <t>ΑΙ525766</t>
  </si>
  <si>
    <t>ΣΤΑΜΑΤΟΥΔΗ ΑΙΚΑΤΕΡΙΝΗ</t>
  </si>
  <si>
    <t>ΑΖ963748</t>
  </si>
  <si>
    <t>ΣΤΑΜΚΟΠΟΥΛΟΥ ΑΘΑΝΑΣΙΑ</t>
  </si>
  <si>
    <t>Π182942</t>
  </si>
  <si>
    <t>ΣΤΑΜΟΠΟΥΛΟΥ ΖΩΗ</t>
  </si>
  <si>
    <t>Π823975</t>
  </si>
  <si>
    <t>ΣΤΑΜΟΣ ΠΑΝΑΓΙΩΤΗΣ</t>
  </si>
  <si>
    <t>ΑΒ318692</t>
  </si>
  <si>
    <t>ΣΤΑΜΟΥ ΓΕΩΡΓΙΑ</t>
  </si>
  <si>
    <t>ΑΚ502400</t>
  </si>
  <si>
    <t>ΣΤΑΜΟΥΛΗΣ ΔΗΜΗΤΡΙΟΣ</t>
  </si>
  <si>
    <t>Χ006459</t>
  </si>
  <si>
    <t>ΣΤΑΜΟΥΛΗΣ ΛΑΜΠΡΟΣ- ΓΕΩΡΓΙΟΣ</t>
  </si>
  <si>
    <t>ΑΜ595840</t>
  </si>
  <si>
    <t>ΣΤΑΜΠΟΛΙΔΟΥ ΑΛΕΞΑΝΔΡΑ</t>
  </si>
  <si>
    <t>Π772386</t>
  </si>
  <si>
    <t>ΣΤΑΜΠΟΥΛΗ ΒΑΣΙΛΙΚΗ</t>
  </si>
  <si>
    <t>ΑΖ801055</t>
  </si>
  <si>
    <t>ΣΤΑΜΠΟΥΛΤΖΗΣ ΧΑΡΑΛΑΜΠΟΣ</t>
  </si>
  <si>
    <t>ΑΖ802795</t>
  </si>
  <si>
    <t>ΣΤΑΝΗΜΕΡΟΥΔΗ ΕΙΡΗΝΗ</t>
  </si>
  <si>
    <t>Χ813840</t>
  </si>
  <si>
    <t>ΣΤΑΣΙΜΙΩΤΗΣ ΚΩΝΣΤΑΝΤΙΝΟΣ</t>
  </si>
  <si>
    <t>Τ891032</t>
  </si>
  <si>
    <t>ΣΤΑΣΙΝΟΠΟΥΛΟΣ ΚΩΝΣΤΑΝΤΙΝΟΣ</t>
  </si>
  <si>
    <t>ΑΚ955098</t>
  </si>
  <si>
    <t>ΣΤΑΣΙΝΟΥ ΒΑΣΙΛΙΚΗ</t>
  </si>
  <si>
    <t>Ξ999769</t>
  </si>
  <si>
    <t>ΣΤΑΣΙΝΟΥ ΣΤΥΛΙΑΝΗ</t>
  </si>
  <si>
    <t>ΑΜ559674</t>
  </si>
  <si>
    <t>ΣΤΑΥΡΑΚΗ ΠΑΡΑΣΚΕΥΗ</t>
  </si>
  <si>
    <t>ΑΒ565488</t>
  </si>
  <si>
    <t>ΣΤΑΥΡΑΚΟΣ ΑΓΓΕΛΟΣ</t>
  </si>
  <si>
    <t>Ν498488</t>
  </si>
  <si>
    <t>ΣΤΑΥΡΕΛΟΠΟΥΛΟΣ ΠΑΝΑΓΙΩΤΗΣ</t>
  </si>
  <si>
    <t>ΑΖ626121</t>
  </si>
  <si>
    <t>ΣΤΑΥΡΕΛΟΥ ΠΑΡΑΣΚΕΥΗ</t>
  </si>
  <si>
    <t>Σ786048</t>
  </si>
  <si>
    <t>ΣΤΑΥΡΟΠΟΥΛΟΣ ΑΥΓΟΥΣΤΟΣ</t>
  </si>
  <si>
    <t>Ρ906697</t>
  </si>
  <si>
    <t>ΣΤΑΥΡΟΠΟΥΛΟΣ ΝΙΚΟΛΑΟΣ</t>
  </si>
  <si>
    <t>ΑΙ231199</t>
  </si>
  <si>
    <t>ΣΤΑΥΡΟΠΟΥΛΟΥ ΑΘΑΝΑΣΙΑ</t>
  </si>
  <si>
    <t>ΑΖ550925</t>
  </si>
  <si>
    <t>ΣΤΑΥΡΟΠΟΥΛΟΥ ΓΕΩΡΓΙΑ</t>
  </si>
  <si>
    <t>ΑΒ663215</t>
  </si>
  <si>
    <t>ΣΤΑΥΡΟΠΟΥΛΟΥ ΚΩΝΣΤΑΝΤΙΝΑ</t>
  </si>
  <si>
    <t>ΑΗ219428</t>
  </si>
  <si>
    <t>ΣΤΑΥΡΟΠΟΥΛΟΥ ΧΡΙΣΤΙΝΑ</t>
  </si>
  <si>
    <t>Σ223137</t>
  </si>
  <si>
    <t>ΣΤΑΥΡΟΣ ΜΑΡΙΝΟΠΟΥΛΟΣ</t>
  </si>
  <si>
    <t>Σ235877</t>
  </si>
  <si>
    <t>ΣΤΑΥΡΟΥ ΒΑΣΙΛΙΚΑ</t>
  </si>
  <si>
    <t>ΑΙ291003</t>
  </si>
  <si>
    <t>ΣΤΑΥΡΟΥ ΕΛΕΝΗ</t>
  </si>
  <si>
    <t>ΑΒ 852352</t>
  </si>
  <si>
    <t>ΣΤΑΥΡΟΥ ΧΡΗΣΤΟΣ</t>
  </si>
  <si>
    <t>Σ484471</t>
  </si>
  <si>
    <t>ΣΤΑΦΟΡΙΔΗΣ ΔΙΟΝΥΣΙΟΣ</t>
  </si>
  <si>
    <t>ΑΑ467019</t>
  </si>
  <si>
    <t>ΣΤΑΦΥΛΙΔΗΣ ΑΛΕΞΑΝΔΡΟΣ</t>
  </si>
  <si>
    <t>ΑΗ159208</t>
  </si>
  <si>
    <t>ΣΤΕΛΛΑΣ ΑΝΤΩΝΙΟΣ</t>
  </si>
  <si>
    <t>ΑΒ175069</t>
  </si>
  <si>
    <t>ΣΤΕΛΛΑΤΟΥ ΠΟΛΥΑΝΝΑ</t>
  </si>
  <si>
    <t>ΑΚ058666</t>
  </si>
  <si>
    <t>ΣΤΕΡΓΙΑΔΗΣ ΣΤΑΥΡΟΣ</t>
  </si>
  <si>
    <t>ΑΕ806300</t>
  </si>
  <si>
    <t>ΣΤΕΡΓΙΑΝΟΣ ΕΥΣΤΡΑΤΙΟΣ</t>
  </si>
  <si>
    <t>Χ420934</t>
  </si>
  <si>
    <t>ΣΤΕΡΓΙΟΠΟΥΛΟΥ ΑΓΓΕΛΙΚΗ</t>
  </si>
  <si>
    <t>ΑΗ727115</t>
  </si>
  <si>
    <t>ΣΤΕΡΓΙΟΥ ΠΑΡΑΣΚΕΥΑΣ</t>
  </si>
  <si>
    <t>Λ693296</t>
  </si>
  <si>
    <t>ΣΤΕΡΓΙΟΥ ΧΡΥΣΟΥΛΑ</t>
  </si>
  <si>
    <t>ΜΟΣ</t>
  </si>
  <si>
    <t>ΑΕ885945</t>
  </si>
  <si>
    <t>ΣΤΕΡΓΙΟΥΔΗΣ ΧΑΡΑΛΑΜΠΟΣ</t>
  </si>
  <si>
    <t>ΑΕ359604</t>
  </si>
  <si>
    <t>ΣΤΕΦΑΝΙΔΗ ΓΑΛΗΝΗ</t>
  </si>
  <si>
    <t>ΑΖ056118</t>
  </si>
  <si>
    <t>ΣΤΕΦΑΝΙΔΗΣ ΑΠΟΣΤΟΛΟΣ</t>
  </si>
  <si>
    <t>Χ752234</t>
  </si>
  <si>
    <t>ΣΤΕΦΑΝΙΔΟΥ ΞΕΝΙΑ</t>
  </si>
  <si>
    <t>Χ037359</t>
  </si>
  <si>
    <t>ΣΤΕΦΑΝΙΔΟΥ ΣΟΦΙΑ</t>
  </si>
  <si>
    <t>ΑΙ335890</t>
  </si>
  <si>
    <t>ΣΤΕΦΑΝΟΠΟΥΛΟΥ ΣΤΥΛΙΑΝΗ</t>
  </si>
  <si>
    <t>ΑΖ435333</t>
  </si>
  <si>
    <t>ΣΤΕΦΑΝΟΥ ΙΩΑΝΝΗΣ</t>
  </si>
  <si>
    <t>Ρ799118</t>
  </si>
  <si>
    <t>ΣΤΕΦΟΣ ΑΝΔΡΕΑΣ</t>
  </si>
  <si>
    <t>ΑΕ978640</t>
  </si>
  <si>
    <t>ΣΤΕΦΟΥ ΗΛΙΑΝΝΑ</t>
  </si>
  <si>
    <t>ΑΜ798944</t>
  </si>
  <si>
    <t>ΣΤΕΦΟΥ ΧΡΙΣΤΙΝΑ</t>
  </si>
  <si>
    <t>Ν792181</t>
  </si>
  <si>
    <t>ΣΤΙΝΗ ΦΩΤΕΙΝΗ</t>
  </si>
  <si>
    <t>Σ304299</t>
  </si>
  <si>
    <t>ΣΤΟΓΙΑΝΝΗΣ ΑΘΑΝΑΣΙΟΣ</t>
  </si>
  <si>
    <t>ΑΗ292830</t>
  </si>
  <si>
    <t>ΣΤΟΥΜΠΟΣ ΛΑΜΠΡΟΣ</t>
  </si>
  <si>
    <t>Π108225</t>
  </si>
  <si>
    <t>ΣΤΟΥΠΑ ΜΑΡΙΝΑ</t>
  </si>
  <si>
    <t>Π177857</t>
  </si>
  <si>
    <t>ΣΤΟΥΠΑΣ ΓΕΩΡΓΙΟΣ</t>
  </si>
  <si>
    <t>ΑΒ582554</t>
  </si>
  <si>
    <t>ΣΤΟΥΠΑΣ ΘΕΜΙΣΤΟΚΛΗΣ</t>
  </si>
  <si>
    <t>ΑΖ753417</t>
  </si>
  <si>
    <t>ΣΤΡΑΒΟΔΗΜΟΥ ΑΙΚΑΤΕΡΙΝΗ</t>
  </si>
  <si>
    <t>Ρ774438</t>
  </si>
  <si>
    <t>ΣΤΡΑΒΟΜΥΤΗ ΒΙΟΛΕΤΑ</t>
  </si>
  <si>
    <t>ΑΑ047640</t>
  </si>
  <si>
    <t>ΣΤΡΑΒΟΜΥΤΗ ΜΑΡΙΑ</t>
  </si>
  <si>
    <t>Σ783208</t>
  </si>
  <si>
    <t>ΣΤΡΑΒΟΠΟΔΗΣ ΔΙΟΝΥΣΙΟΣ</t>
  </si>
  <si>
    <t>ΑΜ114790</t>
  </si>
  <si>
    <t>ΣΤΡΑΒΟΡΑΒΔΗΣ ΒΑΣΙΛΕΙΟΣ</t>
  </si>
  <si>
    <t>ΑΒ415400</t>
  </si>
  <si>
    <t>ΣΤΡΑΝΤΖΑΛΗΣ ΙΣΑΑΚ</t>
  </si>
  <si>
    <t>ΑΗ360870</t>
  </si>
  <si>
    <t>ΣΤΡΑΤΗ ΓΕΩΡΓΙΑ</t>
  </si>
  <si>
    <t>Π050653</t>
  </si>
  <si>
    <t xml:space="preserve">ΣΤΡΑΤΗ ΠΑΝΑΓΙΩΤΑ </t>
  </si>
  <si>
    <t>Σ394843</t>
  </si>
  <si>
    <t>ΣΤΡΑΤΗ ΧΡΙΣΤΙΝΑ</t>
  </si>
  <si>
    <t>ΑΕ489853</t>
  </si>
  <si>
    <t>Στράτη Χριστίνα</t>
  </si>
  <si>
    <t>ΑΒ089023</t>
  </si>
  <si>
    <t>ΣΤΡΑΤΗΓΑΚΟΥ ΑΝΔΡΟΝΙΚΗ</t>
  </si>
  <si>
    <t>ΑΖ735392</t>
  </si>
  <si>
    <t>ΣΤΡΑΤΗΓΟΣ ΣΤΥΛΙΑΝΟΣ</t>
  </si>
  <si>
    <t>ΑΚ584333</t>
  </si>
  <si>
    <t>ΣΤΡΑΤΗΣ ΠΑΝΑΓΙΩΤΗΣ</t>
  </si>
  <si>
    <t>ΑΜ817308</t>
  </si>
  <si>
    <t>ΣΤΡΑΤΗΣ ΧΡΗΣΤΟΣ</t>
  </si>
  <si>
    <t>ΑΜ648833</t>
  </si>
  <si>
    <t>ΣΤΡΑΤΙΚΗ ΦΩΤΕΙΝΗ</t>
  </si>
  <si>
    <t>ΑΒ026162</t>
  </si>
  <si>
    <t>ΣΤΡΑΤΙΚΗΣ ΒΑΣΙΛΕΙΟΣ</t>
  </si>
  <si>
    <t>Τ383059</t>
  </si>
  <si>
    <t>ΣΤΡΑΤΟΥ ΣΤΑΥΡΟΥΛΑ</t>
  </si>
  <si>
    <t>ΑΚ351269</t>
  </si>
  <si>
    <t xml:space="preserve">ΣΤΡΕΜΕΝΟΥ  ΓΕΩΡΓΙΑ </t>
  </si>
  <si>
    <t>Π829586</t>
  </si>
  <si>
    <t>ΣΤΡΙΚΟΥ ΔΙΟΝΥΣΙΑ</t>
  </si>
  <si>
    <t>Σ558425</t>
  </si>
  <si>
    <t>ΣΤΡΟΥΖΑ ΕΛΕΝΗ</t>
  </si>
  <si>
    <t>ΑΚ759003</t>
  </si>
  <si>
    <t>ΣΤΥΛΙΑΝΙΔΗΣ ΓΑΒΡΙΗΛ</t>
  </si>
  <si>
    <t>ΑΙ991048</t>
  </si>
  <si>
    <t>ΣΤΥΛΟΣ ΙΩΑΝΝΗΣ</t>
  </si>
  <si>
    <t>ΑΖ817627</t>
  </si>
  <si>
    <t>ΣΤΥΛΟΥ ΦΩΤΕΙΝΗ</t>
  </si>
  <si>
    <t>ΑΝ901108</t>
  </si>
  <si>
    <t>ΣΥΓΓΟΥΝΑΣ ΕΥΑΓΓΕΛΟΣ</t>
  </si>
  <si>
    <t>ΑΒ410907</t>
  </si>
  <si>
    <t>ΣΥΚΑ ΕΥΔΟΚΙΑ</t>
  </si>
  <si>
    <t>Τ523145</t>
  </si>
  <si>
    <t>ΣΥΛΑϊΔΗ ΑΣΗΜΙΝΑ</t>
  </si>
  <si>
    <t>Τ010047</t>
  </si>
  <si>
    <t>ΣΥΛΑΙΔΟΥ ΑΛΕΞΑΝΔΡΑ</t>
  </si>
  <si>
    <t>ΑΒ339019</t>
  </si>
  <si>
    <t>ΣΥΜΕΩΝ ΑΛΕΞΑΝΔΡΑ</t>
  </si>
  <si>
    <t>Ν527693</t>
  </si>
  <si>
    <t>ΣΥΜΕΩΝΑΚΗΣ ΣΠΥΡΙΔΩΝ</t>
  </si>
  <si>
    <t>ΑΑ084928</t>
  </si>
  <si>
    <t>ΣΥΜΕΩΝΙΔΗ ΕΛΕΝΗ</t>
  </si>
  <si>
    <t>ΑΝ047843</t>
  </si>
  <si>
    <t>ΣΥΜΕΩΝΙΔΗΣ ΙΩΑΝΝΗΣ</t>
  </si>
  <si>
    <t>ΑΒ916821</t>
  </si>
  <si>
    <t>ΑΙ300160</t>
  </si>
  <si>
    <t>ΣΥΜΕΩΝΙΔΗΣ ΚΩΝΣΤ</t>
  </si>
  <si>
    <t>ΑΙ885640</t>
  </si>
  <si>
    <t>ΣΥΜΕΩΝΙΔΗΣ ΣΤΑΥΡΟΣ</t>
  </si>
  <si>
    <t>Ξ540733</t>
  </si>
  <si>
    <t>ΣΥΜΕΩΝΙΔΗΣ ΜΑΥΡΙΔΗΣ ΙΩΑΝΝΗΣ</t>
  </si>
  <si>
    <t>ΑΚ271619</t>
  </si>
  <si>
    <t>ΣΥΜΕΩΝΙΔΟΥ ΚΑΛΛΙΟΠΗ</t>
  </si>
  <si>
    <t>ΑΜ614111</t>
  </si>
  <si>
    <t>ΣΥΜΕΩΝΙΔΟΥ ΣΟΦΙΑ</t>
  </si>
  <si>
    <t>Ξ329815</t>
  </si>
  <si>
    <t>ΣΥΜΙΤΛΙΩΤΟΥ ΠΑΡΘΕΝΟΠΗ</t>
  </si>
  <si>
    <t>ΑΚ265050</t>
  </si>
  <si>
    <t>ΣΥΝΔΡΕΒΕΛΗΣ ΓΕΩΡΓΙΟΣ</t>
  </si>
  <si>
    <t>Μ157987</t>
  </si>
  <si>
    <t>ΣΥΝΩΔΗ ΝΙΚΗ</t>
  </si>
  <si>
    <t>Ρ718523</t>
  </si>
  <si>
    <t>ΣΥΝΩΚΑ ΜΑΡΙΑ</t>
  </si>
  <si>
    <t>Φ189852</t>
  </si>
  <si>
    <t>ΣΥΡΙΑΝΟΣ ΑΝΤΩΝΙΟΣ</t>
  </si>
  <si>
    <t>Ν598925</t>
  </si>
  <si>
    <t>ΣΥΡΙΓΟΣ ΑΓΓΕΛ</t>
  </si>
  <si>
    <t>ΑΒ943343</t>
  </si>
  <si>
    <t>ΣΥΡΙΟΠΟΥΛΟΣ ΝΙΚΟΛΑΟΣ</t>
  </si>
  <si>
    <t>ΑΚ683071</t>
  </si>
  <si>
    <t>ΣΥΡΜΟΣ ΧΡΗΣΤΟΣ</t>
  </si>
  <si>
    <t>ΑΝ796080</t>
  </si>
  <si>
    <t>ΣΥΡΟΠΟΥΛΟΥ ΜΑΡΙΑ</t>
  </si>
  <si>
    <t>ΑΗ386580</t>
  </si>
  <si>
    <t>ΣΦΑΚΙΑΝΑΚΗΣ ΓΕΩΡΓΙΟΣ</t>
  </si>
  <si>
    <t>Κ999383</t>
  </si>
  <si>
    <t>ΣΦΗΝΙΑΣ ΓΕΩΡΓΙΟΣ</t>
  </si>
  <si>
    <t>AH975134</t>
  </si>
  <si>
    <t>ΣΦΟΥΓΚΑΡΙΣΤΟΣ ΛΕΩΝΙΔΑΣ</t>
  </si>
  <si>
    <t>Π140599</t>
  </si>
  <si>
    <t>ΣΧΙΖΑ ΜΑΡΙΑ</t>
  </si>
  <si>
    <t>ΑΙ038517</t>
  </si>
  <si>
    <t>ΔΗΜΟΣ ΔΕΛΤΑ ΘΕΣΣΑΛΟΝΙΚΗΣ</t>
  </si>
  <si>
    <t>ΣΧΟΙΝΑ ΠΑΝΑΓΙΩΤΑ</t>
  </si>
  <si>
    <t>ΑΕ704694</t>
  </si>
  <si>
    <t>ΣΧΟΙΝΑ ΧΡΥΣΑΦΩ</t>
  </si>
  <si>
    <t>Φ342197</t>
  </si>
  <si>
    <t>ΣΧΟΙΝΑΚΗΣ ΓΕΩΡΓΙΟΣ</t>
  </si>
  <si>
    <t>ΑΗ970976</t>
  </si>
  <si>
    <t>Δ.Ε.Υ.Α. ΡΕΘΥΜΝΗΣ</t>
  </si>
  <si>
    <t>ΣΧΟΙΝΑΚΗΣ ΕΜΜΑΝΟΥΗΛ</t>
  </si>
  <si>
    <t>Σ957819</t>
  </si>
  <si>
    <t>ΣΧΟΙΝΑΚΗΣ ΣΩΤΗΡΙΟΣ</t>
  </si>
  <si>
    <t>ΑΜ473030</t>
  </si>
  <si>
    <t xml:space="preserve">ΣΩΚΛΑΡΙΔΗΣ ΓΡΗΓΟΡΗΣ </t>
  </si>
  <si>
    <t>ΑΙ874433</t>
  </si>
  <si>
    <t>ΣΩΚΟΥ ΒΑΣΙΛΙΚΗ</t>
  </si>
  <si>
    <t>ΑΚ333901</t>
  </si>
  <si>
    <t xml:space="preserve">Σωμαράκης Νεκτάριος </t>
  </si>
  <si>
    <t>Χαρ</t>
  </si>
  <si>
    <t>ΑΝ432947</t>
  </si>
  <si>
    <t>ΣΩΤΗΡΗ ΓΕΩΡΓΙΑ</t>
  </si>
  <si>
    <t>Χ313870</t>
  </si>
  <si>
    <t>ΣΩΤΗΡΙΑΔΗ  ΕΛΕΝΗ</t>
  </si>
  <si>
    <t>ΑΗ645131</t>
  </si>
  <si>
    <t>ΣΩΤΗΡΙΑΔΗΣ ΙΩΑΝΝΗΣ</t>
  </si>
  <si>
    <t>ΑΖ376966</t>
  </si>
  <si>
    <t>ΣΩΤΗΡΙΑΔΗΣ ΣΤΑΥΡΟΣ</t>
  </si>
  <si>
    <t>ΑΕ384263</t>
  </si>
  <si>
    <t>ΣΩΤΗΡΙΟΣ ΓΟΥΛΑΣ</t>
  </si>
  <si>
    <t>ΑΗ240151</t>
  </si>
  <si>
    <t>ΣΩΤΗΡΙΟΥ ΖΩΗ</t>
  </si>
  <si>
    <t>ΑΖ079206</t>
  </si>
  <si>
    <t>ΣΩΤΗΡΙΟΥ ΛΑΜΠΡΟΣ</t>
  </si>
  <si>
    <t>ΑΖ765204</t>
  </si>
  <si>
    <t>ΣΩΤΗΡΙΟΥ ΠΑΝΑΓΙΩΤΗΣ</t>
  </si>
  <si>
    <t>ΑΖ271378</t>
  </si>
  <si>
    <t>ΣΩΤΗΡΙΟΥ ΠΑΝΤΕΛΗΣ</t>
  </si>
  <si>
    <t>ΑΖ791193</t>
  </si>
  <si>
    <t>ΣΩΤΗΡΟΒΑ ΕΛΕΝΑ</t>
  </si>
  <si>
    <t>ΑΑ040309</t>
  </si>
  <si>
    <t>ΣΩΤΗΡΟΠΟΥΛΟΣ ΑΝΑΣΤΑΣΙΟΣ</t>
  </si>
  <si>
    <t>ΑΕ741161</t>
  </si>
  <si>
    <t>ΣΩΤΗΡΟΠΟΥΛΟΣ ΚΩΝΣΤΑΝΤΙΝΟΣ</t>
  </si>
  <si>
    <t>ΑΖ207885</t>
  </si>
  <si>
    <t>ΣΩΤΗΡΟΠΟΥΛΟΣ ΝΙΚΗΤΑΣ</t>
  </si>
  <si>
    <t>ΑΜ773434</t>
  </si>
  <si>
    <t>ΣΩΤΗΡΟΠΟΥΛΟΣ ΝΙΚΟΛΑΟΣ</t>
  </si>
  <si>
    <t>Χ792357</t>
  </si>
  <si>
    <t>ΣΩΤΗΡΟΠΟΥΛΟΣ ΠΑΝΑΓΙΩΤΗΣ</t>
  </si>
  <si>
    <t>Χ068645</t>
  </si>
  <si>
    <t>ΣΩΤΗΡΟΠΟΥΛΟΥ ΑΙΜΙΛΙΑ</t>
  </si>
  <si>
    <t>ΑΚ587504</t>
  </si>
  <si>
    <t>ΣΩΤΗΡΟΠΟΥΛΟΥ ΕΙΡΗΝΗ</t>
  </si>
  <si>
    <t>ΑΕ246281</t>
  </si>
  <si>
    <t>ΣΩΤΗΡΟΠΟΥΛΟΥ ΜΑΡΙΑ</t>
  </si>
  <si>
    <t>Κ622622</t>
  </si>
  <si>
    <t>ΣΩΤΗΡΟΠΟΥΛΟΥ ΝΙΚΗ</t>
  </si>
  <si>
    <t>Λ852677</t>
  </si>
  <si>
    <t>ΣΩΦΛΟΣ ΦΩΤΙΟΣ</t>
  </si>
  <si>
    <t>Π771248</t>
  </si>
  <si>
    <t>ΤΑΓΙΑΝΗ ΔΗΜΗΤΡΑ</t>
  </si>
  <si>
    <t>Τ450251</t>
  </si>
  <si>
    <t xml:space="preserve">ΤΑΓΚΑΛΙΔΟΥ ΚΩΝΣΤΑΝΤΙΝΙΑ </t>
  </si>
  <si>
    <t>Ρ849075</t>
  </si>
  <si>
    <t>ΤΑΓΜΑΤΖΙΔΟΥ ΚΥΡΙΑΚΗ</t>
  </si>
  <si>
    <t>Χ222312</t>
  </si>
  <si>
    <t>ΤΑΚΜΑΤΖΙΔΗΣ ΓΕΩΡΓΙΟΣ</t>
  </si>
  <si>
    <t>Χ264249</t>
  </si>
  <si>
    <t>ΤΑΚΤΙΚΟΥ ΘΕΟΔΩΡΑ</t>
  </si>
  <si>
    <t>Σ675585</t>
  </si>
  <si>
    <t>ΤΑΛΑΔΙΑΝΟΣ ΔΗΜΗΤΡΙΟΣ</t>
  </si>
  <si>
    <t>ΑΗ777086</t>
  </si>
  <si>
    <t>ΤΑΛΑΜΠΟΥΚΑΣ ΘΩΜΑΣ</t>
  </si>
  <si>
    <t>ΑΕ195527</t>
  </si>
  <si>
    <t>ΤΑΛΙΟΥΡΑΣ ΚΩΝΣΤΑΝΤΙΝΟΣ</t>
  </si>
  <si>
    <t>ΑΖ587862</t>
  </si>
  <si>
    <t>ΤΑΛΙΟΥΡΗ ΣΤΑΜΑΤΙΝΑ</t>
  </si>
  <si>
    <t>ΑΒ775311</t>
  </si>
  <si>
    <t>ΤΑΜΑΜΙΔΟΥ ΣΟΦΙΑ</t>
  </si>
  <si>
    <t>Τ812664</t>
  </si>
  <si>
    <t>ΤΑΜΗΛΙΑ ΕΥΑΓΓΕΛΙΑ</t>
  </si>
  <si>
    <t>ΑΚ979581</t>
  </si>
  <si>
    <t>ΤΑΜΠΑΚΑΚΗ ΜΑΡΙΑ</t>
  </si>
  <si>
    <t>ΙΠΠ</t>
  </si>
  <si>
    <t>Χ014894</t>
  </si>
  <si>
    <t>ΤΑΜΠΑΡΛΙΑΚΟΣ ΣΤΕΦΑΝΟΣ</t>
  </si>
  <si>
    <t>ΑΙ837166</t>
  </si>
  <si>
    <t xml:space="preserve">ΤΑΝΟΥ  ΕΥΤΕΡΠΗ </t>
  </si>
  <si>
    <t>ΑΑ362256</t>
  </si>
  <si>
    <t>ΤΑΝΤΗΣ ΓΕΩΡΓΙΟΣ</t>
  </si>
  <si>
    <t>ΑΕ833445</t>
  </si>
  <si>
    <t>ΤΑΝΤΟΥΡΗ ΕΛΕΝΗ</t>
  </si>
  <si>
    <t>Π639391</t>
  </si>
  <si>
    <t>ΤΑΞΙΔΟΥ ΕΥΑ</t>
  </si>
  <si>
    <t>ΑΙ113987</t>
  </si>
  <si>
    <t>ΤΑΠΙΚΗ ΝΙΚΗ</t>
  </si>
  <si>
    <t>Π872663</t>
  </si>
  <si>
    <t>ΤΑΡΑΖΑ ΕΛΕΝΗ</t>
  </si>
  <si>
    <t>ΑΗ833547</t>
  </si>
  <si>
    <t>ΤΑΡΑΛΙΔΟΥ ΟΛΓΑ</t>
  </si>
  <si>
    <t>Φ155580</t>
  </si>
  <si>
    <t>ΤΑΡΑΜΟΝΛΗΣ ΓΕΩΡΓΙΟΣ</t>
  </si>
  <si>
    <t>ΑΜ421537</t>
  </si>
  <si>
    <t>ΤΑΡΑΤΣΑΣ ΔΗΜΗΤΡΙΟΣ</t>
  </si>
  <si>
    <t>Ν538190</t>
  </si>
  <si>
    <t>ΤΑΣΗΝΙΚΟΣ ΚΩΝΣΤΑΝΤΙΝΟΣ</t>
  </si>
  <si>
    <t>ΑΙ689300</t>
  </si>
  <si>
    <t>ΤΑΣΙΜ ΑΡΗΦΟΓΛΟΥ</t>
  </si>
  <si>
    <t>ΝΑΗ</t>
  </si>
  <si>
    <t>ΑΚ071567</t>
  </si>
  <si>
    <t>ΤΑΣΙΟΠΟΥΛΟΣ ΔΗΜΗΤΡΙΟΣ</t>
  </si>
  <si>
    <t>Π540557</t>
  </si>
  <si>
    <t>ΤΑΣΙΟΠΟΥΛΟΥ ΝΙΚΗ</t>
  </si>
  <si>
    <t>Τ019792</t>
  </si>
  <si>
    <t>ΤΑΣΙΟΠΟΥΛΟΥ ΟΥΡΑΝΙΑ</t>
  </si>
  <si>
    <t>Ρ853308</t>
  </si>
  <si>
    <t>ΤΑΣΙΟΥΛΑ ΕΥΑΓΓΕΛΙΑ</t>
  </si>
  <si>
    <t>ΑΜ178245</t>
  </si>
  <si>
    <t>ΤΑΤΑΡΑΚH ΙΣΙΔΩΡΑ</t>
  </si>
  <si>
    <t>ΑΚ576750</t>
  </si>
  <si>
    <t>ΤΑΤΑΡΗ ΠΑΡΑΣΚΕΥΗ</t>
  </si>
  <si>
    <t>Σ609384</t>
  </si>
  <si>
    <t>ΤΑΤΣΗΣ ΑΛΕΞΙΟΣ</t>
  </si>
  <si>
    <t>Χ266011</t>
  </si>
  <si>
    <t>ΔΗΜΟΤΙΚΗ ΕΠΙΧΕΙΡΗΣΗ ΥΔΡΕΥΣΗΣ - ΑΠΟΧΕΤΕΥΣΗΣ (Δ.Ε.Υ.Α.) ΑΝΑΤΟΛΙΚΟΥ ΟΛΥΜΠΟΥ ΔΗΜΟΥ ΔΙΟΥ - ΟΛΥΜΠΟΥ</t>
  </si>
  <si>
    <t>ΤΑΦΡΑΛΙΔΗΣ ΑΡΓΥΡΙΟΣ</t>
  </si>
  <si>
    <t>ΑΚ443099</t>
  </si>
  <si>
    <t>ΤΑΧΗΡ ΧΟΥΣΕΙΝ</t>
  </si>
  <si>
    <t>ΑΖ403361</t>
  </si>
  <si>
    <t>ΤΑΧΗΡ ΧΑΣΑΝ ΤΖΕΜΑΛΗ</t>
  </si>
  <si>
    <t>ΑΖ406580</t>
  </si>
  <si>
    <t>ΔΗΜΟΣ ΑΒΔΗΡΩΝ ΞΑΝΘΗΣ</t>
  </si>
  <si>
    <t>ΤΑΧΟΥ ΕΥΔΟΚΙΑ</t>
  </si>
  <si>
    <t>ΑΜ868045</t>
  </si>
  <si>
    <t>ΤΑΨΑ ΕΥΑΝΘΙΑ</t>
  </si>
  <si>
    <t>Ρ898970</t>
  </si>
  <si>
    <t>ΤΕΓΟΥΤΖΙΚ ΜΑΡΙΑ</t>
  </si>
  <si>
    <t>Ξ510495</t>
  </si>
  <si>
    <t>ΤΕΚΕ ΙΦΙΓΕΝΕΙΑ</t>
  </si>
  <si>
    <t>Χ948094</t>
  </si>
  <si>
    <t>ΤΕΚΕΟΓΛΟΥ ΠΑΡΑΣΚΕΥΗ</t>
  </si>
  <si>
    <t>ΑΑ384476</t>
  </si>
  <si>
    <t>ΤΕΚΤΟΝΙΔΟΥ ΓΕΩΡΓΙΑ</t>
  </si>
  <si>
    <t>ΑΜ434556</t>
  </si>
  <si>
    <t>ΤΕΛΙΔΗΣ ΚΩΝΣΤΑΝΤΙΝΟΣ</t>
  </si>
  <si>
    <t>ΑΕ001467</t>
  </si>
  <si>
    <t>ΤΕΛΙΔΗΣ ΜΙΧΑΗΛ</t>
  </si>
  <si>
    <t>ΑΗ878138</t>
  </si>
  <si>
    <t>ΤΕΛΩΝΗΣ ΠΑΥΛΟΣ</t>
  </si>
  <si>
    <t>ΑΒ476113</t>
  </si>
  <si>
    <t>ΤΕΜΕΡΤΖΙΔΗΣ ΑΛΕΞΑΝΔΡΟΣ</t>
  </si>
  <si>
    <t>ΑΖ194590</t>
  </si>
  <si>
    <t>ΤΕΜΠΛΑΛΕΞΗΣ ΓΕΩΡΓΙΟΣ</t>
  </si>
  <si>
    <t>Λ686154</t>
  </si>
  <si>
    <t xml:space="preserve">ΤΕΠΕΤΙΔΗ ΕΛΕΝΗ </t>
  </si>
  <si>
    <t>ΑΕ158743</t>
  </si>
  <si>
    <t>ΤΕΡΖΑΚΗ ΙΩΑΝΝΑ</t>
  </si>
  <si>
    <t>Σ418210</t>
  </si>
  <si>
    <t>ΤΕΡΖΙΔΗΣ ΚΩΝΣΤΑΝΤΙΝΟΣ</t>
  </si>
  <si>
    <t>ΑΕ519403</t>
  </si>
  <si>
    <t>ΤΕΡΖΟΓΛΟΥ ΤΙΜΟΘΕΟΣ</t>
  </si>
  <si>
    <t>ΑΝ229722</t>
  </si>
  <si>
    <t>ΤΕΡΗΣ ΜΙΧΑΗΛ</t>
  </si>
  <si>
    <t>ΑΚ130818</t>
  </si>
  <si>
    <t>ΤΕΣΣΑΣ ΑΓΓΕΛΟΣ</t>
  </si>
  <si>
    <t>ΑΜ631809</t>
  </si>
  <si>
    <t>ΤΕΤΡΑΔΗΣ ΓΑΡΟΥΦΟΣ ΝΙΚΟΛΑΟΣ</t>
  </si>
  <si>
    <t>ΑΚ310509</t>
  </si>
  <si>
    <t>ΤΖΑΒΑΡΑ ΙΩΑΝΝΑ</t>
  </si>
  <si>
    <t>ΑΙ539936</t>
  </si>
  <si>
    <t>ΤΖΑΓΚΑΡΑΚΗ ΑΙΚΑΤΕΡΙΝΗ</t>
  </si>
  <si>
    <t>ΑΜ973573</t>
  </si>
  <si>
    <t>ΤΖΑΜΑΛΗ ΣΠΥΡΙΔΟΥΛΑ</t>
  </si>
  <si>
    <t>Ρ 774239</t>
  </si>
  <si>
    <t>ΤΖΑΝΕΤΕΛΛΗ ΜΑΡΙΑ</t>
  </si>
  <si>
    <t>Σ685407</t>
  </si>
  <si>
    <t>ΤΖΑΝΕΤΟΠΟΥΛΟΥ ΘΕΟΔΩΡΑ</t>
  </si>
  <si>
    <t>ΑΑ444315</t>
  </si>
  <si>
    <t>ΤΖΑΝΗ ΑΡΓΥΡΩ</t>
  </si>
  <si>
    <t>ΑΗ122876</t>
  </si>
  <si>
    <t>ΤΖΑΝΟΥΛΙΝΟΣ ΜΙΧΑΗΛ</t>
  </si>
  <si>
    <t>ΑΕ948602</t>
  </si>
  <si>
    <t>ΤΖΑΤΣΟΣ ΓΕΩΡΓΙΟΣ</t>
  </si>
  <si>
    <t>ΑΙ331978</t>
  </si>
  <si>
    <t>ΤΖΑΦΕΡΗΣ ΕΥΑΓΓΕΛΟΣ</t>
  </si>
  <si>
    <t>ΑΙ346635</t>
  </si>
  <si>
    <t>ΤΖΑΦΕΡΗΣ ΚΩΝΣΤΑΝΤΙΝΟΣ</t>
  </si>
  <si>
    <t>Χ449993</t>
  </si>
  <si>
    <t>ΤΖΑΧΡΗΣΤΑ ΜΑΡΙΑ</t>
  </si>
  <si>
    <t>ΑΝ119673</t>
  </si>
  <si>
    <t>ΤΖΕΒΕΛΕΚΑΚΗΣ ΧΡΥΣΟΒΑΛΑΝΤΗΣ</t>
  </si>
  <si>
    <t>Χ416463</t>
  </si>
  <si>
    <t xml:space="preserve">ΤΖΕΛΙΟΣ  ΗΛΙΑΣ </t>
  </si>
  <si>
    <t>ΑΒ916527</t>
  </si>
  <si>
    <t>ΤΖΕΛΛΟΣ ΠΑΝΑΓΙΩΤΗΣ</t>
  </si>
  <si>
    <t>ΑΙ875917</t>
  </si>
  <si>
    <t>ΤΖΕΜΠΕΛΟΣ ΑΝΔΡΕΑΣ</t>
  </si>
  <si>
    <t>ΑΖ140177</t>
  </si>
  <si>
    <t>ΤΖΕΡΕΜΕΣ ΓΕΩΡΓΙΟΣ</t>
  </si>
  <si>
    <t>ΑΚ540371</t>
  </si>
  <si>
    <t>ΤΖΗΚΑ ΙΩΑΝΝΑ</t>
  </si>
  <si>
    <t>ΑΚ423112</t>
  </si>
  <si>
    <t>ΤΖΗΜΑΣ ΗΛΙΑΣ</t>
  </si>
  <si>
    <t>ΑΚ622197</t>
  </si>
  <si>
    <t>ΤΖΙΑΝΑΚΟΠΟΥΛΟΣ ΒΛΑΣΙΟΣ</t>
  </si>
  <si>
    <t>ΑΖ617875</t>
  </si>
  <si>
    <t>ΤΖΙΑΝΗΣ ΝΙΚΟΛΑΟΣ</t>
  </si>
  <si>
    <t>Χ974887</t>
  </si>
  <si>
    <t>ΤΖΙΑΝΤΑΡΜΑ ΔΗΜΗΤΡΑ</t>
  </si>
  <si>
    <t>ΑΚ710772</t>
  </si>
  <si>
    <t>ΤΖΙΑΦΑ ΙΩΑΝΝΑ</t>
  </si>
  <si>
    <t>Ρ457686</t>
  </si>
  <si>
    <t>ΤΖΙΒΑΝΗΣ ΙΩΑΝΝΗΣ</t>
  </si>
  <si>
    <t>Χ372788</t>
  </si>
  <si>
    <t>ΤΖΙΒΑΡΑ ΣΤΑΥΡΟΥΛΑ</t>
  </si>
  <si>
    <t>Τ483296</t>
  </si>
  <si>
    <t>ΤΖΙΒΕΛΕΚΗΣ ΕΥΑΓΓΕΛΟΣ</t>
  </si>
  <si>
    <t>ΑΕ004282</t>
  </si>
  <si>
    <t>ΤΖΙΚΑΣ ΓΕΩΡΓΙΟΣ</t>
  </si>
  <si>
    <t>ΑΚ256439</t>
  </si>
  <si>
    <t>ΤΖΙΚΑΣ ΝΙΚΟΛΑΟΣ</t>
  </si>
  <si>
    <t>Ξ705468</t>
  </si>
  <si>
    <t>ΤΖΙΛΙΑΝΟΣ ΣΠΥΡΙΔΩΝ</t>
  </si>
  <si>
    <t>Φ067572</t>
  </si>
  <si>
    <t>ΤΖΙΛΙΝΗ ΜΑΡΙΑ</t>
  </si>
  <si>
    <t>ΑΑ972253</t>
  </si>
  <si>
    <t>ΤΖΙΜΑ ΕΛΕΝΗ</t>
  </si>
  <si>
    <t>ΑΖ738388</t>
  </si>
  <si>
    <t>ΤΖΙΜΑΣ ΕΥΑΓΓΕΛΟΣ</t>
  </si>
  <si>
    <t>Φ260394</t>
  </si>
  <si>
    <t>ΤΖΙΜΠΟΥΚΑ ΝΙΚΟΛΕΤΑ</t>
  </si>
  <si>
    <t>Σ461913</t>
  </si>
  <si>
    <t>ΤΖΙΟΜΑΛΛΟΣ ΚΩΝΣΤΑΝΤΙΝΟΣ</t>
  </si>
  <si>
    <t>Ρ967036</t>
  </si>
  <si>
    <t>ΤΖΙΟΡΙΔΟΥ ΜΑΡΙΑ</t>
  </si>
  <si>
    <t>ΑΗ415136</t>
  </si>
  <si>
    <t>ΤΖΙΟΤΖΙΑ ΚΑΛΛΙΟΠΗ</t>
  </si>
  <si>
    <t>ΑΒ421128</t>
  </si>
  <si>
    <t>ΤΖΙΡΑΚΗ ΑΙΚΑΤΕΡΙΝΗ</t>
  </si>
  <si>
    <t>ΑΝ463548</t>
  </si>
  <si>
    <t>ΤΖΙΡΑΚΗ ΧΡΥΣΟΥΛΑ</t>
  </si>
  <si>
    <t>ΑΙ948853</t>
  </si>
  <si>
    <t>ΤΖΙΡΑΚΗΣ ΕΜΜΑΝΟΥΗΛ</t>
  </si>
  <si>
    <t>Χ856375</t>
  </si>
  <si>
    <t>ΤΖΟΒΑΡΑ ΜΑΡΙΑΝΝΑ</t>
  </si>
  <si>
    <t>ΑΖ038706</t>
  </si>
  <si>
    <t>ΤΖΟΓΑ ΕΛΠΙΝΙΚΗ</t>
  </si>
  <si>
    <t>Χ487672</t>
  </si>
  <si>
    <t>ΤΖΟΓΑΝΗΣ ΧΡΗΣΤΟΣ</t>
  </si>
  <si>
    <t>ΑΚ584199</t>
  </si>
  <si>
    <t>ΤΖΟΛΑ ΣΟΦΙΑ</t>
  </si>
  <si>
    <t>Χ552425</t>
  </si>
  <si>
    <t>ΤΖΟΡΤΑ ΑΣΗΜ</t>
  </si>
  <si>
    <t>ΑΕ591205</t>
  </si>
  <si>
    <t>ΤΖΟΡΤΑ ΚΙΑΣΗΦ</t>
  </si>
  <si>
    <t>ΑΣΙ</t>
  </si>
  <si>
    <t>ΑΕ145996</t>
  </si>
  <si>
    <t>ΤΖΟΡΤΑ ΤΑΣΥΝ</t>
  </si>
  <si>
    <t>ΑΚ020266</t>
  </si>
  <si>
    <t>ΤΖΟΥΒΑΛΗ ΕΛΕΝΗ</t>
  </si>
  <si>
    <t>ΑΙ776627</t>
  </si>
  <si>
    <t>ΤΖΟΥΒΑΝΟΣ ΚΩΝΣΤΑΝΤΙΝΟΣ</t>
  </si>
  <si>
    <t>Ν463768</t>
  </si>
  <si>
    <t>ΤΖΟΥΒΑΡΑ ΣΤΑΥΡΟΥΛΑ</t>
  </si>
  <si>
    <t>ΑΝ355870</t>
  </si>
  <si>
    <t>ΤΖΟΥΜΑΛΗΣ ΖΗΣΗΣ</t>
  </si>
  <si>
    <t>ΑΝ703102</t>
  </si>
  <si>
    <t>ΤΖΩΡΟΥ ΑΓΓΕΛΙΝΑ</t>
  </si>
  <si>
    <t>ΑΙ764508</t>
  </si>
  <si>
    <t>ΤΖΩΡΤΖΑΚΑΚΗΣ ΣΤΥΛΙΑΝΟΣ</t>
  </si>
  <si>
    <t>Ξ928407</t>
  </si>
  <si>
    <t>ΤΖΩΡΤΖΗ ΒΑΣΙΛΕΙΑ</t>
  </si>
  <si>
    <t>Σ196208</t>
  </si>
  <si>
    <t>ΤΖΩΡΤΖΗΣ IΩΑΝΝΗΣ</t>
  </si>
  <si>
    <t>ΑΜ246675</t>
  </si>
  <si>
    <t>ΤΖΩΡΤΖΗΣ ΓΕΩΡΓΙΟΣ</t>
  </si>
  <si>
    <t>ΑΒ750178</t>
  </si>
  <si>
    <t>ΤΖΩΡΤΖΙΔΗΣ ΘΕΟΔΩΡΟΣ</t>
  </si>
  <si>
    <t>Χ589226</t>
  </si>
  <si>
    <t>ΤΗΓΑΝΗΣ ΔΙΟΝΥΣΗΣ</t>
  </si>
  <si>
    <t>Χ126104</t>
  </si>
  <si>
    <t>ΤΗΛΙΟΠΟΥΛΟΥ ΦΑΝΗ</t>
  </si>
  <si>
    <t>Φ162513</t>
  </si>
  <si>
    <t>ΤΗΝΙΑΚΟΥ ΕΙΡΗΝΗ</t>
  </si>
  <si>
    <t>ΑΜ160765</t>
  </si>
  <si>
    <t>ΤΙΓΚΑ ΜΑΡΙΑ</t>
  </si>
  <si>
    <t>ΑΑ971572</t>
  </si>
  <si>
    <t>ΤΙΜΙΟΣΙΔΗ ΑΝΝΑ</t>
  </si>
  <si>
    <t>Χ034672</t>
  </si>
  <si>
    <t>ΤΟΓΚΑ ΑΡΓΥΡΑ</t>
  </si>
  <si>
    <t>ΑΖ501709</t>
  </si>
  <si>
    <t>ΤΟΓΚΑΛΙΔΗΣ ΧΡΗΣΤΟΣ</t>
  </si>
  <si>
    <t>ΑΜ286568</t>
  </si>
  <si>
    <t>ΤΟΖΙΟΛΟΣ ΔΗΜΗΤΡΙΟΣ</t>
  </si>
  <si>
    <t>ΑΖ628720</t>
  </si>
  <si>
    <t>ΤΟΖΙΟΛΟΣ ΜΑΡΙΟΣ</t>
  </si>
  <si>
    <t>ΑΝ289181</t>
  </si>
  <si>
    <t>ΔΗΜΟΣ ΠΩΓΩΝΙΟΥ</t>
  </si>
  <si>
    <t>ΤΟΛΗ ΘΕΟΔΩΡΑ</t>
  </si>
  <si>
    <t>Σ776079</t>
  </si>
  <si>
    <t>ΤΟΛΗΣ ΙΩΑΝΝΗΣ</t>
  </si>
  <si>
    <t>ΑΑ381937</t>
  </si>
  <si>
    <t>ΤΟΛΗΣ ΚΩΝΣΤΑΝΤΙΝΟΣ</t>
  </si>
  <si>
    <t>ΑΖ991835</t>
  </si>
  <si>
    <t>ΤΟΛΙΑΣ ΓΕΩΡΓΙΟΣ</t>
  </si>
  <si>
    <t>Σ226282</t>
  </si>
  <si>
    <t>ΤΟΛΙΟΣ ΑΘΑΝΑΣΙΟΣ</t>
  </si>
  <si>
    <t>ΑΖ698085</t>
  </si>
  <si>
    <t>ΤΟΜΑΡΑ ΚΩΝΣΤΑΝΤΙΝΑ</t>
  </si>
  <si>
    <t>ΑΑ352900</t>
  </si>
  <si>
    <t>ΤΟΝΙΚΙΔΟΥ ΕΛΕΥΘΕΡΙΑ</t>
  </si>
  <si>
    <t>ΑΗ359298</t>
  </si>
  <si>
    <t>ΤΟΠΑΛΙΔΗΣ ΑΝΕΣΤΗΣ</t>
  </si>
  <si>
    <t>ΑΙ339188</t>
  </si>
  <si>
    <t xml:space="preserve">ΤΟΠΑΛΙΔΗΣ ΔΗΜΗΤΡΗΣ </t>
  </si>
  <si>
    <t>ΑΗ592896</t>
  </si>
  <si>
    <t>ΤΟΡΗΣ ΣΤΕΦΑΝΟΣ</t>
  </si>
  <si>
    <t>ΑΜ384670</t>
  </si>
  <si>
    <t>ΤΟΣΚΑΣ ΙΩΑΝΝΗΣ</t>
  </si>
  <si>
    <t>Ν493500</t>
  </si>
  <si>
    <t>ΤΟΣΟΥΝΙΔΟΥ ΣΟΦΙΑ</t>
  </si>
  <si>
    <t>ΑΑ226865</t>
  </si>
  <si>
    <t>ΤΟΣΤΣΙΔΟΥ ΓΕΩΡΓΙΑ</t>
  </si>
  <si>
    <t>Σ953425</t>
  </si>
  <si>
    <t>ΤΟΤΣΗ ΕΥΑΝΘΙΑ</t>
  </si>
  <si>
    <t>ΑΙ878418</t>
  </si>
  <si>
    <t>ΤΟΥΛΗΣ ΙΩΑΝΝΗΣ</t>
  </si>
  <si>
    <t>ΑΝ189466</t>
  </si>
  <si>
    <t>ΤΟΥΛΙΚΑ ΕΛΕΝΑ</t>
  </si>
  <si>
    <t>ΑΗ683613</t>
  </si>
  <si>
    <t>ΤΟΥΛΚΕΡΙΔΟΥ ΣΟΦΙΑ</t>
  </si>
  <si>
    <t>ΑΗ889223</t>
  </si>
  <si>
    <t>ΤΟΥΜΑΡΑΣ ΓΕΩΡΓΙΟΣ</t>
  </si>
  <si>
    <t>Τ286248</t>
  </si>
  <si>
    <t xml:space="preserve">ΤΟΥΜΠΕΚΗ ΓΕΩΡΓΙΑ </t>
  </si>
  <si>
    <t>Ν451770</t>
  </si>
  <si>
    <t>ΤΟΥΝΤΑ ΑΙΚΑΤΕΡΙΝΗ</t>
  </si>
  <si>
    <t>Ρ780723</t>
  </si>
  <si>
    <t>ΤΟΥΠΑ ΙΩΑΝΝΑ</t>
  </si>
  <si>
    <t>ΑΖ388637</t>
  </si>
  <si>
    <t>ΤΟΥΠΛΙΚΙΩΤΗΣ ΑΠΟΣΤΟΛΟΣ</t>
  </si>
  <si>
    <t>ΑΝ381850</t>
  </si>
  <si>
    <t>ΤΟΥΡΙΚΗ ΑΝΑΣΤΑΣΙΑ</t>
  </si>
  <si>
    <t>ΑΜ608982</t>
  </si>
  <si>
    <t>ΤΟΥΡΛΟΜΟΥΣΗ ΜΑΡΙΑ</t>
  </si>
  <si>
    <t>Σ252967</t>
  </si>
  <si>
    <t>ΤΟΥΡΤΟΓΛΟΥ ΑΙΚΑΤΕΡΙΝΗ</t>
  </si>
  <si>
    <t>ΑΜ659058</t>
  </si>
  <si>
    <t>ΤΟΥΡΤΟΥΡΗ ΠΑΝΑΓΙΩΤΑ</t>
  </si>
  <si>
    <t>ΑΗ792101</t>
  </si>
  <si>
    <t>ΤΟΥΣΙΟΣ ΔΗΜΗΤΡΙΟΣ</t>
  </si>
  <si>
    <t>Σ329417</t>
  </si>
  <si>
    <t>ΤΟΥΣΙΟΣ ΙΩΑΝΝΗΣ</t>
  </si>
  <si>
    <t>ΑΜ891115</t>
  </si>
  <si>
    <t>ΤΟΥΤΟΥΝΗΣ ΠΑΝΑΓΙΩΤΗΣ</t>
  </si>
  <si>
    <t>Σ848653</t>
  </si>
  <si>
    <t>ΤΡΑΓΑΝΤΖΟΠΟΥΛΟΥ ΑΡΤΕΜΙΣΙΑ</t>
  </si>
  <si>
    <t>ΑΖ876523</t>
  </si>
  <si>
    <t>ΤΡΑΓΑΡΑ ΦΩΤΕΙΝΗ</t>
  </si>
  <si>
    <t>ΑΜ868654</t>
  </si>
  <si>
    <t>ΤΡΑΓΙΑΣ ΔΗΜΗΤΡΙΟΣ</t>
  </si>
  <si>
    <t>Φ469241</t>
  </si>
  <si>
    <t>ΤΡΑΓΟΜΑΛΟΥ ΦΩΤΕΙΝΗ</t>
  </si>
  <si>
    <t>ΑΒ563239</t>
  </si>
  <si>
    <t>ΤΡΑΓΟΤΣΑΛΟΣ ΘΕΟΔΩΡΟΣ</t>
  </si>
  <si>
    <t>ΑΖ210433</t>
  </si>
  <si>
    <t>ΤΡΑΓΟΤΣΑΛΟΥ ΕΛΕΝΗ</t>
  </si>
  <si>
    <t>ΑΒ384673</t>
  </si>
  <si>
    <t>ΤΡΑΙΚΟΣ ΙΩΑΝΝΗΣ</t>
  </si>
  <si>
    <t>ΑΕ827248</t>
  </si>
  <si>
    <t>Τραϊφόρου Νικολέττα</t>
  </si>
  <si>
    <t>ΑΗ060833</t>
  </si>
  <si>
    <t>ΤΡΑΚΟΣ ΓΕΩΡΓΙΟΣ</t>
  </si>
  <si>
    <t>Ν573095</t>
  </si>
  <si>
    <t>ΤΡΑΠΕΖΑΝΙΔΟΥ ΣΑΡΡΑ</t>
  </si>
  <si>
    <t>ΑΚ280722</t>
  </si>
  <si>
    <t>ΤΡΑΠΕΖΟΥΝΤΙΔΗΣ ΓΡΗΓΟΡΙΟΣ</t>
  </si>
  <si>
    <t>ΑΖ134184</t>
  </si>
  <si>
    <t>ΤΡΑΠΙΤΣΗ ΜΑΡΙΑ</t>
  </si>
  <si>
    <t>ΑΚ284096</t>
  </si>
  <si>
    <t>ΤΡΑΧΑΛΑΚΗ ΔΕΣΠΟΙΝΑ</t>
  </si>
  <si>
    <t>Φ345682</t>
  </si>
  <si>
    <t>ΤΡΑΧΑΝΑΤΖΗΣ ΔΙΟΝΥΣΙΟΣ</t>
  </si>
  <si>
    <t>Τ530487</t>
  </si>
  <si>
    <t>ΤΡΑΧΑΝΑΤΖΗΣ ΚΩΝΣΤΑΝΤΙΝΟΣ</t>
  </si>
  <si>
    <t>ΑΕ974159</t>
  </si>
  <si>
    <t>ΤΡΙΑΝΤΑΦΥΛΛΑΚΗΣ ΝΙΚΟΛΑΟΣ</t>
  </si>
  <si>
    <t>Σ352366</t>
  </si>
  <si>
    <t>ΤΡΙΑΝΤΑΦΥΛΛΙΔΗΣ ΒΑΣΙΛΕΙΟΣ</t>
  </si>
  <si>
    <t>ΑΙ519262</t>
  </si>
  <si>
    <t>ΤΡΙΑΝΤΑΦΥΛΛΙΔΗΣ ΓΕΩΡΓΙΟΣ</t>
  </si>
  <si>
    <t>ΑΚ991431</t>
  </si>
  <si>
    <t>ΤΡΙΑΝΤΑΦΥΛΛΙΔΗΣ ΘΕΟΔΟΣΙΟΣ</t>
  </si>
  <si>
    <t>ΑΕ572924</t>
  </si>
  <si>
    <t>ΤΡΙΑΝΤΑΦΥΛΛΙΔΗΣ ΜΙΛΤΙΑΔΗΣ</t>
  </si>
  <si>
    <t>ΑΙ106150</t>
  </si>
  <si>
    <t>ΤΡΙΑΝΤΑΦΥΛΛΙΔΗΣ ΠΑΥΛΟΣ</t>
  </si>
  <si>
    <t>Χ174170</t>
  </si>
  <si>
    <t>ΑΒ855884</t>
  </si>
  <si>
    <t>ΤΡΙΑΝΤΑΦΥΛΛΙΔΗΣ ΣΑΒΒΑΣ</t>
  </si>
  <si>
    <t>Τ423286</t>
  </si>
  <si>
    <t>ΤΡΙΑΝΤΑΦΥΛΛΙΔΟΥ ΑΝΤΖΕΛΑ</t>
  </si>
  <si>
    <t>ΑΙ547429</t>
  </si>
  <si>
    <t>ΤΡΙΑΝΤΑΦΥΛΛΙΔΟΥ ΣΟΦΙΑ</t>
  </si>
  <si>
    <t>Φ011037</t>
  </si>
  <si>
    <t>ΤΡΙΑΝΤΑΦΥΛΛΟΠΟΥΛΟΣ ΧΡΗΣΤΟΣ</t>
  </si>
  <si>
    <t>ΑΖ515992</t>
  </si>
  <si>
    <t>ΤΡΙΑΝΤΑΦΥΛΛΟΠΟΥΛΟΥ ΟΥΡΑΝΙΑ</t>
  </si>
  <si>
    <t>Σ391813</t>
  </si>
  <si>
    <t>ΤΡΙΑΝΤΑΦΥΛΛΟΠΟΥΛΟΥ ΣΤΑΥΡΟΥΛΑ</t>
  </si>
  <si>
    <t>Υ118006</t>
  </si>
  <si>
    <t>ΤΡΙΑΝΤΑΦΥΛΛΟΣ ΙΩΑΝΝΗΣ</t>
  </si>
  <si>
    <t>ΑΒ810514</t>
  </si>
  <si>
    <t>ΤΡΙΑΝΤΑΦΥΛΛΟΥ ΑΝΤΩΝΙΟΣ</t>
  </si>
  <si>
    <t>ΑΗ801848</t>
  </si>
  <si>
    <t>ΤΡΙΑΝΤΑΦΥΛΛΟΥ ΓΕΩΡΓΙΑ</t>
  </si>
  <si>
    <t>ΑΙ550658</t>
  </si>
  <si>
    <t>ΤΡΙΑΝΤΑΦΥΛΛΟΥ ΕΥΑΓΓΕΛΙΑ</t>
  </si>
  <si>
    <t>ΑΗ832643</t>
  </si>
  <si>
    <t>ΤΡΙΑΝΤΑΦΥΛΛΟΥ ΕΥΓΕΝΙΑ</t>
  </si>
  <si>
    <t>ΑΒ395562</t>
  </si>
  <si>
    <t>ΤΡΙΑΝΤΑΦΥΛΛΟΥ ΣΤΕΦΑΝΙΑ</t>
  </si>
  <si>
    <t>Χ173203</t>
  </si>
  <si>
    <t>ΤΡΙΑΝΤΑΦΥΛΛΟΥΔΗ ΙΩΑΝΝΑ</t>
  </si>
  <si>
    <t>Ξ805994</t>
  </si>
  <si>
    <t>ΤΡΙΑΝΤΑΦΥΛΛΟΥΔΗ ΜΑΡΙΑ</t>
  </si>
  <si>
    <t>ΑΕ678888</t>
  </si>
  <si>
    <t>ΤΡΙΑΝΤΗΣ ΒΑΣΙΛΕΙΟΣ</t>
  </si>
  <si>
    <t>Φ488827</t>
  </si>
  <si>
    <t>ΤΡΙΓΚΑΣ ΣΕΡΑΦΕΙΜ</t>
  </si>
  <si>
    <t>Μ880465</t>
  </si>
  <si>
    <t>ΤΡΙΚΑΛΙΝΟΣ ΜΟΔΕΣΤΟΣ</t>
  </si>
  <si>
    <t>ΑΙ708191</t>
  </si>
  <si>
    <t>ΤΡΙΚΟΥΛΗ ΚΥΡΙΑΚΗ</t>
  </si>
  <si>
    <t>ΑΗ909651</t>
  </si>
  <si>
    <t>ΤΡΙΜΑΤΗΣ ΣΤΑΜΑΤΙΟΣ</t>
  </si>
  <si>
    <t>Χ322460</t>
  </si>
  <si>
    <t>ΤΡΙΠΥΛΑ ΒΑΣΙΛΕΙΑ</t>
  </si>
  <si>
    <t>ΑΗ937873</t>
  </si>
  <si>
    <t>ΤΡΟΣΙΔΗ ΑΘΗΝΑ</t>
  </si>
  <si>
    <t>ΑΗ867238</t>
  </si>
  <si>
    <t>ΤΡΟΥΠΑΚΗ ΓΕΩΡΓΙΑ</t>
  </si>
  <si>
    <t>Π531650</t>
  </si>
  <si>
    <t>ΤΡΟΥΧΙΓΙΟ ΜΠΡΟΥ ΛΑΖΑΡΑ ΜΑΓΔΑΛΕΝΑ</t>
  </si>
  <si>
    <t>ΧΟΣ</t>
  </si>
  <si>
    <t>ΑΑ010810</t>
  </si>
  <si>
    <t>ΤΡΥΦΩΝΟΠΟΥΛΟΣ ΑΛΕΞΑΝΔΡΟΣ</t>
  </si>
  <si>
    <t>Π846428</t>
  </si>
  <si>
    <t xml:space="preserve">ΤΡΥΦΩΝΟΣ ΕΛΕΝΗ </t>
  </si>
  <si>
    <t>ΑΒ547928</t>
  </si>
  <si>
    <t>ΤΡΥΦΩΝΟΣ ΣΕΡΑΦΕΙΜ</t>
  </si>
  <si>
    <t>ΑΜ150417</t>
  </si>
  <si>
    <t>ΤΣΑΒΑΛΑ ΑΛΕΞΙΑ</t>
  </si>
  <si>
    <t>ΑΗ714553</t>
  </si>
  <si>
    <t>ΤΣΑΒΑΛΑΣ ΘΕΟΔΩΡΟΣ</t>
  </si>
  <si>
    <t>ΑΖ528301</t>
  </si>
  <si>
    <t>ΤΣΑΒΔΑΡΙΔΟΥ ΧΡΙΣΤΙΝΑ</t>
  </si>
  <si>
    <t>ΑΒ433451</t>
  </si>
  <si>
    <t>ΤΣΑΒΟΥΣΙΑΝ ΧΑΚΟΜΠ</t>
  </si>
  <si>
    <t>ΧΟΒ</t>
  </si>
  <si>
    <t>ΑΜ101631</t>
  </si>
  <si>
    <t xml:space="preserve">Τσαγγαλίδου  Ελένη </t>
  </si>
  <si>
    <t>ΑΖ176444</t>
  </si>
  <si>
    <t>ΤΣΑΓΓΟΥΡΗ ΕΛΕΝΗ</t>
  </si>
  <si>
    <t>Ευσ</t>
  </si>
  <si>
    <t>ΑΕ551390</t>
  </si>
  <si>
    <t>ΤΣΑΓΚΑΡΑΚΗ ΕΙΡΗΝΗ</t>
  </si>
  <si>
    <t>Ρ398139</t>
  </si>
  <si>
    <t>ΤΣΑΓΚΟΥΡΗΣ ΦΩΤΙΟΣ</t>
  </si>
  <si>
    <t>ΑΝ286971</t>
  </si>
  <si>
    <t>ΤΣΑΚΑΛΗΣ ΕΛΕΥΘΕΡΙΟΣ</t>
  </si>
  <si>
    <t>ΑΖ171292</t>
  </si>
  <si>
    <t>ΤΣΑΚΑΛΙΔΗΣ ΓΕΩΡΓΙΟΣ</t>
  </si>
  <si>
    <t>ΑΙ390031</t>
  </si>
  <si>
    <t>ΤΣΑΚΑΛΙΔΗΣ ΜΙΧΑΗΛ</t>
  </si>
  <si>
    <t>ΑΖ401336</t>
  </si>
  <si>
    <t>ΤΣΑΚΑΛΟΥ ΜΑΡΙΑ</t>
  </si>
  <si>
    <t>ΖΑΝ</t>
  </si>
  <si>
    <t>ΑΝ008031</t>
  </si>
  <si>
    <t>ΤΣΑΚΑΝΙΚΑ ΕΥΑΓΓΕΛΙΑ</t>
  </si>
  <si>
    <t>ΑΕ563147</t>
  </si>
  <si>
    <t>ΤΣΑΚΑΝΙΚΑ ΣΤΑΥΡΟΥΛΑ</t>
  </si>
  <si>
    <t>Φ047896</t>
  </si>
  <si>
    <t>ΤΣΑΚΑΣ ΓΕΩΡΓΙΟΣ</t>
  </si>
  <si>
    <t>Π142065</t>
  </si>
  <si>
    <t>ΤΣΑΚΙΡΗ ΒΛΑΣΟΥΛΑ-ΜΑΡΙΑ</t>
  </si>
  <si>
    <t>ΑΝ045255</t>
  </si>
  <si>
    <t>ΤΣΑΚΙΡΗ ΚΩΝΣΤΑΝΤΙΝΑ</t>
  </si>
  <si>
    <t>ΑΝ323251</t>
  </si>
  <si>
    <t>ΤΣΑΚΙΡΗ ΜΑΡΙΑ</t>
  </si>
  <si>
    <t>ΑΕ856585</t>
  </si>
  <si>
    <t>ΤΣΑΚΙΡΗΣ ΓΕΩΡΓΙΟΣ</t>
  </si>
  <si>
    <t>Μ876059</t>
  </si>
  <si>
    <t>ΤΣΑΚΙΡΗΣ ΙΩΑΝΝΗΣ</t>
  </si>
  <si>
    <t>ΑΜ176073</t>
  </si>
  <si>
    <t>ΤΣΑΚΙΡΙΔΗΣ ΓΕΩΡΓΙΟΣ</t>
  </si>
  <si>
    <t>ΑΒ541391</t>
  </si>
  <si>
    <t>ΤΣΑΚΙΡΜΠΑΡΟΓΛΟΥ ΙΟΡΔΑΝΗΣ</t>
  </si>
  <si>
    <t>ΑΚ850900</t>
  </si>
  <si>
    <t>ΤΣΑΚΛΙΔΗ ΝΑΤΑΛΙΑ</t>
  </si>
  <si>
    <t>Χ784823</t>
  </si>
  <si>
    <t>ΤΣΑΚΜΑΚΗΣ ΔΗΜΗΤΡΙΟΣ</t>
  </si>
  <si>
    <t>Χ488430</t>
  </si>
  <si>
    <t>ΤΣΑΚΝΗΣ ΕΜΜΑΝΟΥΗΛ</t>
  </si>
  <si>
    <t>ΑΕ327731</t>
  </si>
  <si>
    <t>ΤΣΑΚΟΣ ΠΑΝΑΓΙΩΤΗΣ</t>
  </si>
  <si>
    <t>ΑΙ517174</t>
  </si>
  <si>
    <t>ΤΣΑΚΟΥ ΚΩΣΤΟΥΛΑ</t>
  </si>
  <si>
    <t>ΑΜ622934</t>
  </si>
  <si>
    <t>ΤΣΑΚΟΥΜΑΚΗΣ ΝΙΚΟΛΑΟΣ</t>
  </si>
  <si>
    <t>ΑΒ172849</t>
  </si>
  <si>
    <t>ΤΣΑΚΤΣΙΡΗΣ ΕΥΑΓΓΕΛΟΣ</t>
  </si>
  <si>
    <t>Π174134</t>
  </si>
  <si>
    <t>ΤΣΑΚΥΡΟΓΛΟΥ ΔΕΣΠΟΙΝΑ</t>
  </si>
  <si>
    <t>ΑΜ274515</t>
  </si>
  <si>
    <t>ΤΣΑΚΩΝΑ ΜΑΡΙΑ</t>
  </si>
  <si>
    <t>ΑΗ733264</t>
  </si>
  <si>
    <t>ΤΣΑΚΩΝΑΣ ΝΙΚΟΛΑΟΣ</t>
  </si>
  <si>
    <t>ΑΒ756863</t>
  </si>
  <si>
    <t>ΤΣΑΛΑΜΠΑΜΠΟΥΝΗΣ ΑΝΑΣΤΑΣΙΟΣ</t>
  </si>
  <si>
    <t>Χ146675</t>
  </si>
  <si>
    <t>ΤΣΑΛΑΠΑΤΗΣ ΙΩΑΝΝΗΣ</t>
  </si>
  <si>
    <t>Τ190072</t>
  </si>
  <si>
    <t>ΤΣΑΛΚΙΤΖΗ ΚΩΝΣΤΑΝΤΙΑ</t>
  </si>
  <si>
    <t>Χ227445</t>
  </si>
  <si>
    <t>ΤΣΑΛΚΟΥΤΗΣ ΑΝΤΩΝΙΟΣ</t>
  </si>
  <si>
    <t>Υ118005</t>
  </si>
  <si>
    <t>ΤΣΑΛΜΑΝΤΖΑΣ ΒΑΣΙΛΕΙΟΣ</t>
  </si>
  <si>
    <t>ΑΝ486050</t>
  </si>
  <si>
    <t>ΤΣΑΜΗ ΜΑΡΙΑ</t>
  </si>
  <si>
    <t>Τ391727</t>
  </si>
  <si>
    <t>ΤΣΑΜΠΑΛΑΚΗ ΖΩΗ</t>
  </si>
  <si>
    <t>ΑΚ945584</t>
  </si>
  <si>
    <t>ΤΣΑΜΠΡΑ ΣΤΑΥΡΟΥΛΑ</t>
  </si>
  <si>
    <t>Τ419973</t>
  </si>
  <si>
    <t>ΤΣΑΜΤΖΙΔΗΣ ΙΩΑΝΝΗΣ</t>
  </si>
  <si>
    <t>ΑΕ661817</t>
  </si>
  <si>
    <t>ΤΣΑΝΑΚΛΙΔΟΥ ΕΛΠΙΔΑ</t>
  </si>
  <si>
    <t>ΑΙ151224</t>
  </si>
  <si>
    <t>ΤΣΑΝΑΚΤΣΙΔΟΥ ΜΑΡΙΑ</t>
  </si>
  <si>
    <t>ΑΖ654787</t>
  </si>
  <si>
    <t>ΤΣΑΝΤΕΚΙΔΗΣ ΡΑΝΤΙΚ</t>
  </si>
  <si>
    <t>ΠΛΑ</t>
  </si>
  <si>
    <t>ΑΗ819166</t>
  </si>
  <si>
    <t>ΤΣΑΝΤΕΚΙΔΟΥ ΣΟΦΙΑ</t>
  </si>
  <si>
    <t>Χ954889</t>
  </si>
  <si>
    <t>ΤΣΑΝΤΥΛΑ ΘΕΟΔΩΡΑ</t>
  </si>
  <si>
    <t>ΑΝ969567</t>
  </si>
  <si>
    <t>ΤΣΑΟΥΣΗ ΜΑΡΙΑ</t>
  </si>
  <si>
    <t>ΑΚ768741</t>
  </si>
  <si>
    <t>ΤΣΑΠΑΡΑΣ ΝΕΟΦΥΤΟΣ</t>
  </si>
  <si>
    <t>Ν416596</t>
  </si>
  <si>
    <t>ΤΣΑΠΡΑΛΗ ΝΙΚΟΛΕΤΑ</t>
  </si>
  <si>
    <t>ΑΑ083652</t>
  </si>
  <si>
    <t>ΤΣΑΡΑΣ ΕΥΑΓΓΕΛΟΣ</t>
  </si>
  <si>
    <t>Χ555468</t>
  </si>
  <si>
    <t>ΤΣΑΡΔΟΥΛΙΑ ΔΕΣΠΟΙΝΑ</t>
  </si>
  <si>
    <t>Χ873058</t>
  </si>
  <si>
    <t>ΤΣΑΡΙΔΗΣ ΗΛΙΑΣ</t>
  </si>
  <si>
    <t>Φ273530</t>
  </si>
  <si>
    <t>ΤΣΑΡΜΑΝΤΙΔΟΥ ΜΑΡΙΝΑ</t>
  </si>
  <si>
    <t>ΑΑ956151</t>
  </si>
  <si>
    <t>ΤΣΑΡΟΥΧΑ ΕΛΕΝΗ</t>
  </si>
  <si>
    <t>Ξ757386</t>
  </si>
  <si>
    <t>ΤΣΑΡΟΥΧΑ ΣΟΥΛΤΑΝΑ</t>
  </si>
  <si>
    <t>ΑΗ165687</t>
  </si>
  <si>
    <t>ΤΣΑΡΟΥΧΑΣ ΒΑΣΙΛΕΙΟΣ</t>
  </si>
  <si>
    <t>ΑΖ716072</t>
  </si>
  <si>
    <t>ΤΣΑΡΟΥΧΑΣ ΓΕΩΡΓΙΟΣ</t>
  </si>
  <si>
    <t>ΑΙ160274</t>
  </si>
  <si>
    <t>ΤΣΑΡΟΥΧΗΣ ΕΥΤΥΧΙΟΣ</t>
  </si>
  <si>
    <t>ΑΜ069166</t>
  </si>
  <si>
    <t>ΤΣΑΡΣΙΤΑΛΙΔΗΣ ΚΩΝΣΤΑΝΤΙΝΟΣ</t>
  </si>
  <si>
    <t>ΑΗ398642</t>
  </si>
  <si>
    <t>ΤΣΑΤΑΛΙΟΥ ΕΥΑΓΓΕΛΙΑ</t>
  </si>
  <si>
    <t>Λ267997</t>
  </si>
  <si>
    <t>ΤΣΑΤΣΑΝΗ ΑΝΑΣΤΑΣΙΑ</t>
  </si>
  <si>
    <t>ΑΙ510660</t>
  </si>
  <si>
    <t>ΤΣΑΦΑΡΑΣ ΙΩΑΝΝΗΣ</t>
  </si>
  <si>
    <t>Ξ983954</t>
  </si>
  <si>
    <t>ΤΣΑΦΟΥΡΗ ΜΑΡΙΝΑ</t>
  </si>
  <si>
    <t>Φ060211</t>
  </si>
  <si>
    <t>ΤΣΑΧΑΛΟΥ ΧΡΥΣΟΥΛΑ</t>
  </si>
  <si>
    <t>Π051384</t>
  </si>
  <si>
    <t xml:space="preserve">ΤΣΕΒΕΛΕΚΙΔΗΣ ΧΑΡΑΛΑΜΠΟΣ </t>
  </si>
  <si>
    <t>ΑΜ899684</t>
  </si>
  <si>
    <t>ΤΣΕΚΑΡΗΣ ΒΑΣΙΛΕΙΟΣ</t>
  </si>
  <si>
    <t>ΑΗ288850</t>
  </si>
  <si>
    <t>ΤΣΕΚΟΥΡΑΣ ΘΩΜΑΣ ΑΝΔΡΕΑΣ</t>
  </si>
  <si>
    <t>ΑΗ174034</t>
  </si>
  <si>
    <t>ΤΣΕΚΟΥΡΑΣ ΠΑΝΑΓΙΩΤΗΣ</t>
  </si>
  <si>
    <t>Χ297080</t>
  </si>
  <si>
    <t>ΤΣΕΛΑΡΙΔΟΥ ΕΙΡΗΝΗ</t>
  </si>
  <si>
    <t>ΑΜ153507</t>
  </si>
  <si>
    <t>ΤΣΕΛΑΡΙΔΟΥ ΦΩΤΕΙΝΗ</t>
  </si>
  <si>
    <t>ΑΒ321739</t>
  </si>
  <si>
    <t>ΤΣΕΛΕΓΚΕΡΙΔΗΣ ΔΗΜΗΤΡΙΟΣ</t>
  </si>
  <si>
    <t>ΑΖ099070</t>
  </si>
  <si>
    <t>ΤΣΕΛΕΜΠΗΣ ΙΩΑΝΝΗΣ</t>
  </si>
  <si>
    <t>ΑΖ819168</t>
  </si>
  <si>
    <t>ΤΣΕΛΙΟΣ ΔΗΜΗΤΡΙΟΣ</t>
  </si>
  <si>
    <t>ΑΝ095591</t>
  </si>
  <si>
    <t>ΤΣΕΛΙΟΥ ΕΛΕΝΗ</t>
  </si>
  <si>
    <t>Π205020</t>
  </si>
  <si>
    <t>ΤΣΕΛΛΑ ΕΙΡΗΝΗ</t>
  </si>
  <si>
    <t>Χ361446</t>
  </si>
  <si>
    <t>ΤΣΕΜΕΝΗΣ ΚΥΡΙΑΖΗΣ</t>
  </si>
  <si>
    <t>ΑΒ919850</t>
  </si>
  <si>
    <t>ΤΣΕΡΑΧΙΔΗ ΕΛΕΝΗ</t>
  </si>
  <si>
    <t>ΑΕ118136</t>
  </si>
  <si>
    <t>ΤΣΕΡΕΜΕΓΚΛΗ ΑΙΚΑΤΕΡΙΝΗ</t>
  </si>
  <si>
    <t>ΑΙ998986</t>
  </si>
  <si>
    <t>ΤΣΕΡΗ ΚΩΝΣΤΑΝΤΙΝΑ</t>
  </si>
  <si>
    <t>Σ625796</t>
  </si>
  <si>
    <t>ΤΣΕΡΚΗΣ ΙΩΑΝΝΗΣ</t>
  </si>
  <si>
    <t>ΑΜ942108</t>
  </si>
  <si>
    <t>ΤΣΕΡΩΝΗ ΑΝΑΣΤ</t>
  </si>
  <si>
    <t>ΑΒ679195</t>
  </si>
  <si>
    <t>ΤΣΕΡΩΝΗΣ ΧΡΗΣΤΟΣ</t>
  </si>
  <si>
    <t>ΑΑ261830</t>
  </si>
  <si>
    <t>ΤΣΙΑΒΤΑΡΙΔΟΥ ΠΑΛΑΣΗ</t>
  </si>
  <si>
    <t>ΑΚ858534</t>
  </si>
  <si>
    <t>ΤΣΙΑΓΚΙΔΗΣ ΑΠΟΣΤΟΛΟΣ</t>
  </si>
  <si>
    <t>ΑΜ924023</t>
  </si>
  <si>
    <t>ΤΣΙΑΚΑΛΙΑΡΗ ΒΑΣΙΛΙΚΗ</t>
  </si>
  <si>
    <t>ΑΒ405400</t>
  </si>
  <si>
    <t>ΤΣΙΑΚΑΛΙΔΟΥ - ΠΑΠΑΖΟΓΛΟΥ ΕΛΕΥΘΕΡΙΑ</t>
  </si>
  <si>
    <t>ΑΙ150338</t>
  </si>
  <si>
    <t>ΤΣΙΑΚΙΡΙΔΟΥ ΕΛΠΙΔΑ</t>
  </si>
  <si>
    <t>ΑΗ102317</t>
  </si>
  <si>
    <t>ΤΣΙΑΜΑΝΤΑΝΗ ΒΑΡΒΑΡΑ</t>
  </si>
  <si>
    <t>ΑΗ275177</t>
  </si>
  <si>
    <t>ΤΣΙΑΜΑΝΤΑΝΗΣ ΕΥΣΤΑΘΙΟΣ</t>
  </si>
  <si>
    <t>ΑΙ859548</t>
  </si>
  <si>
    <t>ΤΣΙΑΜΑΡΔΑ ΠΑΝΑΓΙΩΤΑ</t>
  </si>
  <si>
    <t>ΑΕ733965</t>
  </si>
  <si>
    <t>ΤΣΙΑΝΑΚΑΣ ΣΤΥΛΙΑΝΟΣ</t>
  </si>
  <si>
    <t>ΑΑ872001</t>
  </si>
  <si>
    <t>ΤΣΙΑΝΟΥ ΔΕΣΠΟΙΝΑ</t>
  </si>
  <si>
    <t>ΑΚ525327</t>
  </si>
  <si>
    <t>ΤΣΙΑΟΥΣΗ ΔΗΜΗΤΡΑ</t>
  </si>
  <si>
    <t>ΑΚ427752</t>
  </si>
  <si>
    <t>ΤΣΙΑΠΑΛΑ ΖΑΧΑΡΟΥΛΑ</t>
  </si>
  <si>
    <t>Σ481831</t>
  </si>
  <si>
    <t>ΤΣΙΑΠΑΝΙΤΗ ΕΥΘΥΜΙΑ</t>
  </si>
  <si>
    <t>Π886702</t>
  </si>
  <si>
    <t>ΤΣΙΑΡΑΣ ΝΙΚΟΛΑΟΣ</t>
  </si>
  <si>
    <t>ΑΕ440213</t>
  </si>
  <si>
    <t>ΤΣΙΑΡΑΣ ΧΡΗΣΤΟΣ</t>
  </si>
  <si>
    <t>ΑΝ317178</t>
  </si>
  <si>
    <t>ΤΣΙΑΤΣΗ ΑΓΓΕΛΙΚΗ</t>
  </si>
  <si>
    <t>Σ758834</t>
  </si>
  <si>
    <t>ΤΣΙΑΤΣΙΜΑ ΠΑΡΑΣΚΕΥΗ</t>
  </si>
  <si>
    <t>ΑΚ215183</t>
  </si>
  <si>
    <t>ΤΣΙΒΕΛΕΚΙΔΗΣ ΑΝΕΣΤΗΣ</t>
  </si>
  <si>
    <t>Ρ022841</t>
  </si>
  <si>
    <t>ΤΣΙΒΟΥΛΑ ΧΡΗΣΑΝΘΗ</t>
  </si>
  <si>
    <t>ΑΙ734004</t>
  </si>
  <si>
    <t>ΤΣΙΓΑΡΑ ΒΑΣΙΛΙΚΗ</t>
  </si>
  <si>
    <t>ΑΖ744162</t>
  </si>
  <si>
    <t>ΤΣΙΓΑΡΙΔΑΣ ΛΑΖΑΡΟΣ</t>
  </si>
  <si>
    <t>Κ699764</t>
  </si>
  <si>
    <t>ΔΗΜΟΤΙΚΗ ΕΠΙΧΕΙΡΗΣΗ ΥΔΡΕΥΣΗΣ ΚΑΙ ΑΠΟΧΕΤΕΥΣΗΣ (Δ.Ε.Υ.Α.) ΛΑΜΙΑΣ</t>
  </si>
  <si>
    <t>ΤΣΙΓΑΡΙΔΑΣ ΣΩΤΗΡΙΟΣ</t>
  </si>
  <si>
    <t>ΑΚ432603</t>
  </si>
  <si>
    <t>ΤΣΙΓΓΑΝΑ ΑΛΕΞΑΝΔΡΑ</t>
  </si>
  <si>
    <t>Ξ688451</t>
  </si>
  <si>
    <t>ΤΣΙΓΓΕΛΗΣ ΠΑΝΤΕΛΗΣ</t>
  </si>
  <si>
    <t>Σ460464</t>
  </si>
  <si>
    <t>ΤΣΙΓΚΑΣ ΘΩΜΑΣ</t>
  </si>
  <si>
    <t>ΑΕ483979</t>
  </si>
  <si>
    <t>ΤΣΙΓΚΟΖΗ ΕΥΤΥΧΙΑ</t>
  </si>
  <si>
    <t>ΑΗ697685</t>
  </si>
  <si>
    <t>ΤΣΙΓΚΟΥ ΜΑΡΙΑ</t>
  </si>
  <si>
    <t>ΑΖ720571</t>
  </si>
  <si>
    <t>ΤΣΙΓΛΟΠΟΥΛΟΣ ΓΕΩΡΓΙΟΣ</t>
  </si>
  <si>
    <t>ΑΖ304751</t>
  </si>
  <si>
    <t>ΤΣΙΚΑΛΟΥΔΑΚΗΣ ΗΡΑΚΛΗΣ</t>
  </si>
  <si>
    <t>Φ295048</t>
  </si>
  <si>
    <t>ΤΣΙΚΑΣ ΝΕΚΤΑΡΙΟΣ</t>
  </si>
  <si>
    <t>ΑΙ571484</t>
  </si>
  <si>
    <t>ΤΣΙΚΝΗΣ ΔΗΜΗΤΡΙΟΣ</t>
  </si>
  <si>
    <t>Ν935022</t>
  </si>
  <si>
    <t>ΤΣΙΚΝΗΣ ΣΤΕΡΓΟΣ</t>
  </si>
  <si>
    <t>Κ388479</t>
  </si>
  <si>
    <t>ΤΣΙΚΡΙΚΗ ΑΙΚΑΤΕΡΙΝΗ</t>
  </si>
  <si>
    <t>Π137556</t>
  </si>
  <si>
    <t>ΤΣΙΛΑ ΕΙΡΗΝΗ</t>
  </si>
  <si>
    <t>ΑΒ832788</t>
  </si>
  <si>
    <t>ΤΣΙΛΙΓΚΑΡΙΔΟΥ ΕΙΡΗΝΗ</t>
  </si>
  <si>
    <t>ΑΖ670834</t>
  </si>
  <si>
    <t>ΤΣΙΛΙΓΚΙΡΗΣ ΓΕΩΡΓΙΟΣ</t>
  </si>
  <si>
    <t>ΑΕ957075</t>
  </si>
  <si>
    <t>ΤΣΙΛΟΦΥΤΗ ΚΩΝΣΤΑΝΤΙΝΑ</t>
  </si>
  <si>
    <t>Π943211</t>
  </si>
  <si>
    <t>ΤΣΙΜΕΝΙΔΟΥ ΜΑΡΙΑ</t>
  </si>
  <si>
    <t>ΑΗ155572</t>
  </si>
  <si>
    <t>ΤΣΙΜΗΚΑ ΜΑΡΙΑ</t>
  </si>
  <si>
    <t>Φ275997</t>
  </si>
  <si>
    <t>ΤΣΙΜΙΑΚΑΚΗ ΙΩΑΝΝΑ</t>
  </si>
  <si>
    <t>ΑΒ320642</t>
  </si>
  <si>
    <t>ΤΣΙΜΟΥ ΜΑΡΙΑ</t>
  </si>
  <si>
    <t>ΑΗ302144</t>
  </si>
  <si>
    <t>ΤΣΙΜΠΑΝΑΚΟΣ ΚΟΣΜΑΣ</t>
  </si>
  <si>
    <t>ΑΖ278977</t>
  </si>
  <si>
    <t>ΤΣΙΝΙΑ ΑΓΟΡΙΤΣΑ</t>
  </si>
  <si>
    <t>ΑΒ998997</t>
  </si>
  <si>
    <t>ΤΣΙΝΙΑΡΗ ΚΥΡΙΑΚΗ</t>
  </si>
  <si>
    <t>Ξ220268</t>
  </si>
  <si>
    <t>ΤΣΙΝΙΑΡΟΥ ΕΥΘΥΜΙΑ</t>
  </si>
  <si>
    <t>ΑΖ320430</t>
  </si>
  <si>
    <t>ΤΣΙΝΤΑ ΑΝΝΑ</t>
  </si>
  <si>
    <t>ΑΖ191479</t>
  </si>
  <si>
    <t xml:space="preserve">ΤΣΙΝΤΑ  ΕΛΈΝΗ </t>
  </si>
  <si>
    <t>ΛΆΖ</t>
  </si>
  <si>
    <t>ΑΒ124879</t>
  </si>
  <si>
    <t>ΤΣΙΝΤΖΗΛΑ ΚΑΛΛΙΟΠΗ</t>
  </si>
  <si>
    <t>ΑΚ386680</t>
  </si>
  <si>
    <t>ΤΣΙΝΤΖΟΥ ΒΑΣΙΛΙΚΗ</t>
  </si>
  <si>
    <t>ΑΒ640177</t>
  </si>
  <si>
    <t>ΤΣΙΝΤΖΟΥΡΑ ΕΛΠΙΔΑ</t>
  </si>
  <si>
    <t>ΑΒ079207</t>
  </si>
  <si>
    <t>ΤΣΙΟΒΟΛΟΣ ΔΗΜΗΤΡΙΟΣ</t>
  </si>
  <si>
    <t>ΑΙ851906</t>
  </si>
  <si>
    <t>ΤΣΙΟΒΟΥΛΟΥ ΧΡΙΣΤΙΝΑ</t>
  </si>
  <si>
    <t>ΑΙ229519</t>
  </si>
  <si>
    <t>ΤΣΙΟΓΙΑ ΑΡΕΤΗ</t>
  </si>
  <si>
    <t>ΑΗ761501</t>
  </si>
  <si>
    <t>ΤΣΙΟΛΑΚΗΣ ΑΛΕΞΑΝΔΡΟΣ</t>
  </si>
  <si>
    <t>ΑΚ999003</t>
  </si>
  <si>
    <t>ΤΣΙΟΛΑΣ ΚΩΝΣΤΑΝΤΙΝΟΣ</t>
  </si>
  <si>
    <t>ΑΖ272784</t>
  </si>
  <si>
    <t>ΤΣΙΟΛΠΑΝΤΙΔΟΥ ΕΥΣΤΡΑΤΙΑ</t>
  </si>
  <si>
    <t>ΑΒ460836</t>
  </si>
  <si>
    <t>ΤΣΙΟΝΑΚΑΣ ΘΩΜΑΣ</t>
  </si>
  <si>
    <t>Τ273293</t>
  </si>
  <si>
    <t>ΤΣΙΟΠΤΣΙΑΣ ΔΗΜΗΤΡΙΟΣ</t>
  </si>
  <si>
    <t>ΑΜ398882</t>
  </si>
  <si>
    <t>ΤΣΙΟΤΡΑΣ ΝΙΚΟΛΑΟΣ</t>
  </si>
  <si>
    <t>ΑΙ838015</t>
  </si>
  <si>
    <t>ΤΣΙΟΥΔΗΣ ΘΕΟΔΩΡΟΣ</t>
  </si>
  <si>
    <t>ΑΕ162426</t>
  </si>
  <si>
    <t>ΤΣΙΟΥΚΑ ΒΑΣΙΛΙΚΗ</t>
  </si>
  <si>
    <t>ΑΙ613536</t>
  </si>
  <si>
    <t>ΤΣΙΟΥΚΑΡΗ ΙΟΥΛΙΑ</t>
  </si>
  <si>
    <t>ΑΚ266605</t>
  </si>
  <si>
    <t>ΤΣΙΟΥΛΟΥ ΑΙΚΑΤΕΡΙΝΗ</t>
  </si>
  <si>
    <t>Ρ981833</t>
  </si>
  <si>
    <t>ΤΣΙΟΥΛΟΥ ΦΩΤΕΙΝΗ</t>
  </si>
  <si>
    <t>Χ980815</t>
  </si>
  <si>
    <t>ΤΣΙΟΥΡΒΑ ΖΩΗ</t>
  </si>
  <si>
    <t>Ν860331</t>
  </si>
  <si>
    <t>ΤΣΙΟΥΡΗ ΓΕΩΡΓΙΑ</t>
  </si>
  <si>
    <t>Π118500</t>
  </si>
  <si>
    <t>ΤΣΙΟΦΛΙΟΥ ΚΑΤΙΝΑ</t>
  </si>
  <si>
    <t>Μ886725</t>
  </si>
  <si>
    <t>ΤΣΙΠΑ ΜΑΡΙΑ</t>
  </si>
  <si>
    <t>ΑΖ656234</t>
  </si>
  <si>
    <t>ΤΣΙΠΛΑΚΗΣ ΝΕΚΤΑΡΙΟΣ</t>
  </si>
  <si>
    <t>ΑΑ492935</t>
  </si>
  <si>
    <t>ΤΣΙΠΛΑΚΗΣ ΝΙΚΟΛΑΟΣ</t>
  </si>
  <si>
    <t>Μ439955</t>
  </si>
  <si>
    <t>ΤΣΙΠΡΑ ΑΝΑΣΤΑΣΙΑ</t>
  </si>
  <si>
    <t>Σ229226</t>
  </si>
  <si>
    <t>ΤΣΙΡΑΚΙΔΟΥ ΕΛΕΝΗ</t>
  </si>
  <si>
    <t>Ξ240435</t>
  </si>
  <si>
    <t>ΤΣΙΡΕΠΑΣ ΚΩΝΣΤΑΝΤΙΝΟΣ</t>
  </si>
  <si>
    <t>ΑΜ504773</t>
  </si>
  <si>
    <t>Τσιριγωτης Σπυριδων Ανδρεας</t>
  </si>
  <si>
    <t>Γεω</t>
  </si>
  <si>
    <t>Π476361</t>
  </si>
  <si>
    <t>ΤΣΙΡΜΠΑΣ ΣΤΑΥΡΟΣ</t>
  </si>
  <si>
    <t>ΑΝ095661</t>
  </si>
  <si>
    <t>ΤΣΙΡΟΠΟΥΛΗΣ ΕΥΣΤΑΘΙΟΣ</t>
  </si>
  <si>
    <t>ΑΕ873754</t>
  </si>
  <si>
    <t>ΤΣΙΡΟΣ ΑΝΔΡΕΑΣ</t>
  </si>
  <si>
    <t>Σ847556</t>
  </si>
  <si>
    <t>ΤΣΙΣΤΡΑΚΗΣ ΓΕΩΡΓ</t>
  </si>
  <si>
    <t>Χ629938</t>
  </si>
  <si>
    <t>ΤΣΙΤΛΑΚΙΔΗΣ ΧΑΡΑΛΑΜΠΟΣ</t>
  </si>
  <si>
    <t>ΑΒ575831</t>
  </si>
  <si>
    <t>ΤΣΙΤΟΥΡΙΔΗΣ ΠΑΥΛΟΣ</t>
  </si>
  <si>
    <t>ΑΒ116427</t>
  </si>
  <si>
    <t>ΤΣΙΤΣΑ ΑΓΝΗ</t>
  </si>
  <si>
    <t>Ξ653678</t>
  </si>
  <si>
    <t>ΤΣΙΤΣΗΣ ΙΩΑΝΝΗΣ</t>
  </si>
  <si>
    <t>ΑΖ603859</t>
  </si>
  <si>
    <t>ΤΣΙΤΣΙΚΟΥ ΙΩΑΝΝΑ</t>
  </si>
  <si>
    <t>ΑΑ325185</t>
  </si>
  <si>
    <t>ΤΣΙΤΣΙΚΟΥ ΜΑΡΙΑ</t>
  </si>
  <si>
    <t>Τ562123</t>
  </si>
  <si>
    <t>ΤΣΙΤΣΙΚΟΥ ΡΕΒΕΚΑ</t>
  </si>
  <si>
    <t>Χ303078</t>
  </si>
  <si>
    <t>ΤΣΙΤΣΙΜΠΙΚΟΥ ΑΓΓΕΛΙΚΗ</t>
  </si>
  <si>
    <t>Χ266895</t>
  </si>
  <si>
    <t>ΤΣΙΤΣΙΠΑ ΣΤΥΛΙΑΝΗ</t>
  </si>
  <si>
    <t>ΑΒ027129</t>
  </si>
  <si>
    <t>ΤΣΙΤΣΟΥ ΑΘΑΝΑΣΙΑ</t>
  </si>
  <si>
    <t>Χ791269</t>
  </si>
  <si>
    <t>ΤΣΙΦΛΙΔΗ ΛΑΜΠΡΙΝΗ</t>
  </si>
  <si>
    <t>Σ730716</t>
  </si>
  <si>
    <t>ΤΣΙΩΚΑ ΕΥΑΓΓΕΛΙΑ</t>
  </si>
  <si>
    <t>ΑΙ843200</t>
  </si>
  <si>
    <t>ΤΣΙΩΚΑΣ ΙΩΑΝΝΗΣ</t>
  </si>
  <si>
    <t>ΑΙ900816</t>
  </si>
  <si>
    <t>ΤΣΙΩΚΡΗ ΕΛΕΝΗ</t>
  </si>
  <si>
    <t>ΑΗ801949</t>
  </si>
  <si>
    <t>ΤΣΟΓΚΑ ΒΑΣΙΛΙΚΗ</t>
  </si>
  <si>
    <t>ΑΝ243609</t>
  </si>
  <si>
    <t>ΤΣΟΓΚΑ ΣΤΑΥΡΟΥΛΑ</t>
  </si>
  <si>
    <t>Χ458676</t>
  </si>
  <si>
    <t>ΤΣΟΛΑΚΗ ΕΥΦΡΟΣΥΝΗ</t>
  </si>
  <si>
    <t>ΑΑ839255</t>
  </si>
  <si>
    <t>ΤΣΟΛΑΚΙΔΗΣ ΚΩΝΣΤΑΝΤΙΝΟΣ</t>
  </si>
  <si>
    <t>ΑΙ853948</t>
  </si>
  <si>
    <t>ΤΣΟΛΑΚΙΔΗΣ ΛΑΖΑΡΟΣ</t>
  </si>
  <si>
    <t>ΑΚ888499</t>
  </si>
  <si>
    <t>ΤΣΟΛΑΚΙΔΟΥ ΚΩΝΣΤΑΝΤΙΝΙΑ</t>
  </si>
  <si>
    <t>ΖΩΗ</t>
  </si>
  <si>
    <t>Χ847470</t>
  </si>
  <si>
    <t>ΤΣΟΛΕΡΙΔΟΥ ΠΑΣΧΑΛΙΝΑ</t>
  </si>
  <si>
    <t>Χ735034</t>
  </si>
  <si>
    <t>ΤΣΟΛΗ ΑΓΑΘΗ</t>
  </si>
  <si>
    <t>Χ459382</t>
  </si>
  <si>
    <t>Τσόλκα Γεωργία</t>
  </si>
  <si>
    <t>Παύ</t>
  </si>
  <si>
    <t>ΑΗ749833</t>
  </si>
  <si>
    <t>ΤΣΟΛΚΑΣ ΒΛΑΣΙΟΣ</t>
  </si>
  <si>
    <t>ΑΒ394017</t>
  </si>
  <si>
    <t>ΤΣΟΜΠΑΝΙΔΗΣ ΑΛΕΞΑΝΔΡΟΣ</t>
  </si>
  <si>
    <t>ΑΗ672517</t>
  </si>
  <si>
    <t>ΤΣΟΜΠΑΝΙΔΟΥ ΑΝΤΩΝΙΑ-ΕΡΑΣΜΙΑ</t>
  </si>
  <si>
    <t>ΑΚ918162</t>
  </si>
  <si>
    <t>ΤΣΟΜΠΑΝΙΚΟΥ ΙΩΑΝΝΑ</t>
  </si>
  <si>
    <t>ΑΕ986598</t>
  </si>
  <si>
    <t>ΤΣΟΠΑΡΟΠΟΥΛΟΣ ΒΑΣΙΛΕΙΟΣ</t>
  </si>
  <si>
    <t>ΑΒ853615</t>
  </si>
  <si>
    <t>ΤΣΟΠΕΛΑΣ ΘΕΟΔΩΡΟΣ</t>
  </si>
  <si>
    <t>Ν484879</t>
  </si>
  <si>
    <t>ΤΣΟΡΜΠΑΤΣΙΔΗΣ ΘΕΟΔΩΡΟΣ</t>
  </si>
  <si>
    <t>ΑΒ947138</t>
  </si>
  <si>
    <t>ΤΣΟΥΚΑ ΒΑΣΙΛΙΚΗ</t>
  </si>
  <si>
    <t>ΑΗ940527</t>
  </si>
  <si>
    <t>ΤΣΟΥΚΑ ΓΕΣΘΗΜΑΝΗ</t>
  </si>
  <si>
    <t>ΑΒ034478</t>
  </si>
  <si>
    <t>ΤΣΟΥΚΑΛΑΔΕΛΗΣ ΕΠΑΜΕΙΝΩΝΔΑΣ</t>
  </si>
  <si>
    <t>Χ483476</t>
  </si>
  <si>
    <t>ΤΣΟΥΚΑΛΑΣ ΔΗΜΗΤΡΙΟΣ</t>
  </si>
  <si>
    <t>ΑΒ960281</t>
  </si>
  <si>
    <t>ΤΣΟΥΚΑΛΑΣ ΚΩΝΣΤΑΝΤΙΝΟΣ</t>
  </si>
  <si>
    <t>ΑΗ254207</t>
  </si>
  <si>
    <t>ΤΣΟΥΚΑΛΗ ΚΥΡΙΑΚΗ</t>
  </si>
  <si>
    <t>ΑΕ190423</t>
  </si>
  <si>
    <t>ΤΣΟΥΚΑΣ ΧΑΡΑΛΑΜΠΟΣ</t>
  </si>
  <si>
    <t>Ξ450047</t>
  </si>
  <si>
    <t>ΤΣΟΥΚΑΤΟΥ ΜΑΡΙΑ</t>
  </si>
  <si>
    <t>ΑΒ781985</t>
  </si>
  <si>
    <t>ΤΣΟΥΚΗ ΕΥΑΓΓΕΛΙΑ</t>
  </si>
  <si>
    <t>ΑΙ360477</t>
  </si>
  <si>
    <t>ΤΣΟΥΚΙΑ ΑΡΕΤΗ</t>
  </si>
  <si>
    <t>Ν228790</t>
  </si>
  <si>
    <t>ΤΣΟΥΚΝΑΚΗ ΑΣΗΜΙΝΑ</t>
  </si>
  <si>
    <t>ΑΚ849801</t>
  </si>
  <si>
    <t>ΤΣΟΥΛΦΑ ΞΕΝΙΑ</t>
  </si>
  <si>
    <t>ΑΒ127890</t>
  </si>
  <si>
    <t>ΤΣΟΥΛΦΙΔΗΣ ΕΥΣΤΑΘΙΟΣ</t>
  </si>
  <si>
    <t>ΑΒ739646</t>
  </si>
  <si>
    <t>ΤΣΟΥΜΑ ΟΥΡΑΝΙΑ</t>
  </si>
  <si>
    <t>ΑΚ594545</t>
  </si>
  <si>
    <t>ΤΣΟΥΜΑΡΗΣ ΕΜΜΑΝΟΥΗΛ</t>
  </si>
  <si>
    <t>ΑΚ649904</t>
  </si>
  <si>
    <t>ΤΣΟΥΜΠΕΛΗ ΧΡΙΣΤΙΝΑ</t>
  </si>
  <si>
    <t>ΑΖ717493</t>
  </si>
  <si>
    <t>Τσόύμπέλή  Πάνάγίώτά</t>
  </si>
  <si>
    <t>Γέώ</t>
  </si>
  <si>
    <t>Χ335457</t>
  </si>
  <si>
    <t>ΤΣΟΥΝΑ ΖΩΗ</t>
  </si>
  <si>
    <t>ΑΙ209620</t>
  </si>
  <si>
    <t>ΤΣΟΥΝΤΑΝΗ ΣΟΦΙΑ</t>
  </si>
  <si>
    <t>ΑΚ774503</t>
  </si>
  <si>
    <t>ΤΣΟΥΠΕΗΣ ΔΗΜΗΤΡΙΟΣ</t>
  </si>
  <si>
    <t>ΑΕ982332</t>
  </si>
  <si>
    <t>ΤΣΟΥΡΑΣ ΑΝΕΣΤΗΣ</t>
  </si>
  <si>
    <t>ΚΙΤ</t>
  </si>
  <si>
    <t>ΑΗ686480</t>
  </si>
  <si>
    <t>ΤΣΟΥΡΓΙΑΝΝΗΣ ΜΑΡΙΟΣ</t>
  </si>
  <si>
    <t>ΑΜ634506</t>
  </si>
  <si>
    <t>ΤΣΟΥΡΔΑΛΑΚΗ ΕΛΕΝΗ</t>
  </si>
  <si>
    <t>Χ073893</t>
  </si>
  <si>
    <t>ΤΣΟΥΡΟΥΦΛΗ ΑΝΝΑ</t>
  </si>
  <si>
    <t>ΑΜ733796</t>
  </si>
  <si>
    <t>ΤΣΟΥΤΗΣ ΙΩΑΝΝΗΣ</t>
  </si>
  <si>
    <t>ΑΕ547878</t>
  </si>
  <si>
    <t>ΤΣΟΥΤΟΥΡΙΔΗΣ ΑΛΕΞΙΟΣ</t>
  </si>
  <si>
    <t>ΑΜ240358</t>
  </si>
  <si>
    <t>ΤΣΟΥΤΣΑΝΗΣ ΕΥΑΓΓΕΛΟΣ</t>
  </si>
  <si>
    <t>Μ255473</t>
  </si>
  <si>
    <t>ΤΣΟΥΤΣΟΥΛΑΣ ΔΗΜΗΤΡΙΟΣ</t>
  </si>
  <si>
    <t>ΑΙ337120</t>
  </si>
  <si>
    <t>ΤΣΟΥΤΣΟΥΛΑΣ ΣΤΑΥΡΟΣ</t>
  </si>
  <si>
    <t>ΑΗ302988</t>
  </si>
  <si>
    <t>ΤΣΟΥΤΣΟΥΛΙΓΚΑΣ ΒΑΣΙΛΕΙΟΣ</t>
  </si>
  <si>
    <t>ΑΗ776493</t>
  </si>
  <si>
    <t>ΤΣΟΥΤΣΟΥΜΑΝΟΥ ΝΙΚΗ</t>
  </si>
  <si>
    <t>Σ347921</t>
  </si>
  <si>
    <t>ΤΣΟΦΛΙΟΥ ΙΩΑΝΝΑ ΖΩΗ</t>
  </si>
  <si>
    <t>ΑΖ980933</t>
  </si>
  <si>
    <t>ΤΣΟΧΑΝΤΑΡΙΔΟΥ ΠΑΝΑΓΙΩΤΑ</t>
  </si>
  <si>
    <t>Ρ740375</t>
  </si>
  <si>
    <t>ΤΣΩΝΗΣ ΔΗΜΗΤΡΙΟΣ</t>
  </si>
  <si>
    <t>Σ709773</t>
  </si>
  <si>
    <t>ΤΥΡΑΚΗ ΝΕΚΤΑΡΙΑ</t>
  </si>
  <si>
    <t>ΑΜ458688</t>
  </si>
  <si>
    <t>ΤΥΡΟΥ ΘΕΟΔΩΡΑ</t>
  </si>
  <si>
    <t>Φ359050</t>
  </si>
  <si>
    <t>ΤΥΦΛΟΥ ΚΑΛΗ</t>
  </si>
  <si>
    <t>ΑΕ826420</t>
  </si>
  <si>
    <t>ΥΛΙΚΟΥ ΜΑΡΙΑ</t>
  </si>
  <si>
    <t>ΑΜ665811</t>
  </si>
  <si>
    <t>ΥΦΑΝΤΗΣ ΑΠΟΣΤΟΛΟΣ</t>
  </si>
  <si>
    <t>Μ526698</t>
  </si>
  <si>
    <t>ΥΦΑΝΤΙΔΗΣ ΘΕΟΔΩΡΟΣ</t>
  </si>
  <si>
    <t>ΑΚ867293</t>
  </si>
  <si>
    <t>Δ.Ε.Υ.Α. ΔΗΜΟΥ ΒΟΛΒΗΣ</t>
  </si>
  <si>
    <t>ΥΨΗΛΑΝΤΗ ΒΑΣΙΛΙΚΗ</t>
  </si>
  <si>
    <t>Π249596</t>
  </si>
  <si>
    <t>ΦΑΚΗ ΜΑΡΙΑ</t>
  </si>
  <si>
    <t>Ρ395677</t>
  </si>
  <si>
    <t>ΦΑΚΙΩΛΑΣ ΒΕΛΗΣΣΑΡΙΟΣ</t>
  </si>
  <si>
    <t>Ν515528</t>
  </si>
  <si>
    <t>ΦΑΚΚΑ ΦΩΤΕΙΝΗ</t>
  </si>
  <si>
    <t>Ξ898213</t>
  </si>
  <si>
    <t>ΦΑΚΛΗ ΓΕΩΡΓΙΑ</t>
  </si>
  <si>
    <t>ΑΖ949715</t>
  </si>
  <si>
    <t>ΦΑΚΟΥ ΕΥΑΓΓΕΛΗ</t>
  </si>
  <si>
    <t>ΑΒ092472</t>
  </si>
  <si>
    <t>ΦΑΛΑΓΓΗΣ ΕΥΑΓΓΕΛΟΣ</t>
  </si>
  <si>
    <t>ΑΕ483272</t>
  </si>
  <si>
    <t>ΦΑΝΑΡΑ ΔΗΜΗΤΡΑ</t>
  </si>
  <si>
    <t>Σ442688</t>
  </si>
  <si>
    <t>ΦΑΝΑΡΑ ΠΑΝΑΓΙΩΤΑ</t>
  </si>
  <si>
    <t>ΑΙ325338</t>
  </si>
  <si>
    <t>ΦΑΝΑΡΙΩΤΗ ΕΛΕΝΗ</t>
  </si>
  <si>
    <t>Ρ541735</t>
  </si>
  <si>
    <t>ΦΑΝΑΡΙΩΤΗΣ ΝΙΚΟΛΑΟΣ</t>
  </si>
  <si>
    <t>Τ922415</t>
  </si>
  <si>
    <t>ΦΑΝΕΛΛΗΣ ΒΑΣΙΛΕΙΟΣ</t>
  </si>
  <si>
    <t>Σ508016</t>
  </si>
  <si>
    <t>ΦΑΝΗΣ ΠΑΝΑΓΙΩΤΗΣ</t>
  </si>
  <si>
    <t>Ρ142879</t>
  </si>
  <si>
    <t>ΦΑΡΔΗ ΑΙΚΑΤΕΡΙΝΗ</t>
  </si>
  <si>
    <t>ΑΕ843415</t>
  </si>
  <si>
    <t>ΦΑΡΔΗ ΔΗΜΗΤΡΑ</t>
  </si>
  <si>
    <t>Χ673741</t>
  </si>
  <si>
    <t>ΦΑΡΜΑΚΗ ΒΑΣΙΛΙΚΗ</t>
  </si>
  <si>
    <t>Π231705</t>
  </si>
  <si>
    <t>ΦΑΡΜΑΚΗΣ ΠΕΡΙΚΛΗΣ</t>
  </si>
  <si>
    <t>ΑΝ299563</t>
  </si>
  <si>
    <t>ΦΑΣΟΥΛΑ ΑΣΠΑΣΙΑ</t>
  </si>
  <si>
    <t>ΑΒ215248</t>
  </si>
  <si>
    <t>ΦΑΣΟΥΛΑ ΧΡΥΣΟΥΛΑ</t>
  </si>
  <si>
    <t>ΑΜ147252</t>
  </si>
  <si>
    <t>ΦΑΣΟΥΛΑΚΗΣ ΕΜΜΑΝΟΥΗΛ</t>
  </si>
  <si>
    <t>Σ859935</t>
  </si>
  <si>
    <t>ΦΑΣΟΥΛΑΚΗΣ ΧΡΙΣΤΟΔΟΥΛΟΣ</t>
  </si>
  <si>
    <t>ΑΕ472522</t>
  </si>
  <si>
    <t>ΦΑΣΟΥΛΑΣ ΝΙΚΟΛ</t>
  </si>
  <si>
    <t>ΑΗ586830</t>
  </si>
  <si>
    <t>ΦΑΤΟΥΡΟΥ ΑΙΚΑΤΕΡΙΝΗ</t>
  </si>
  <si>
    <t>ΑΜ080347</t>
  </si>
  <si>
    <t>ΦΑΤΟΥΡΟΥ ΕΛΙΣΑΒΕΤ</t>
  </si>
  <si>
    <t>ΑΙ017311</t>
  </si>
  <si>
    <t>ΦΑΧΟΥΡΙ ΤΟΝΙ</t>
  </si>
  <si>
    <t>ΑΙ667085</t>
  </si>
  <si>
    <t>ΦΕΙΖΟΥΛΑ ΧΑΣΑΝ ΣΑΛΙΕ</t>
  </si>
  <si>
    <t>Φ309042</t>
  </si>
  <si>
    <t>ΦΕΛΕΚΗΣ ΓΕΩΡΓΙΟΣ</t>
  </si>
  <si>
    <t>ΑΚΟ24789</t>
  </si>
  <si>
    <t>ΦΕΛΛΙΑ ΣΤΕΡΓΙΑΝΗ</t>
  </si>
  <si>
    <t>Π239534</t>
  </si>
  <si>
    <t>ΦΕΛΩΝΗΣ ΓΕΩΡΓΙΟΣ</t>
  </si>
  <si>
    <t>Σ780062</t>
  </si>
  <si>
    <t>ΦΕΡΕΚΙΔΗΣ ΠΕΤΡΟΣ</t>
  </si>
  <si>
    <t>Τ942593</t>
  </si>
  <si>
    <t>ΦΕΡΛΕΣ ΙΩΑΝΝΗΣ</t>
  </si>
  <si>
    <t>Π023645</t>
  </si>
  <si>
    <t>ΦΕΣΑΚΗΣ ΗΛΙΑΣ</t>
  </si>
  <si>
    <t>ΑΙ426263</t>
  </si>
  <si>
    <t>ΦΙΛΙΝΤΟΠΟΥΛΟΥ ΜΑΡΙΑ ΣΩΤΗΡΙ</t>
  </si>
  <si>
    <t>Σ300295</t>
  </si>
  <si>
    <t>ΦΙΛΙΠΠΑ ΚΩΣΤΑΝΤΙΝΑ</t>
  </si>
  <si>
    <t>Τ046291</t>
  </si>
  <si>
    <t>ΦΙΛΙΠΠΑΙΟΥ ΕΛΕΝΗ</t>
  </si>
  <si>
    <t>Σ154329</t>
  </si>
  <si>
    <t>ΦΙΛΙΠΠΙΔΟΥ ΜΠΕΛΑ</t>
  </si>
  <si>
    <t>ΑΗ697759</t>
  </si>
  <si>
    <t>ΦΙΛΙΠΠΙΔΟΥ ΝΟΝΝΑ</t>
  </si>
  <si>
    <t>ΑΚ927018</t>
  </si>
  <si>
    <t>ΦΙΛΙΠΠΙΔΟΥ ΧΡΙΣΤΙΝΑ</t>
  </si>
  <si>
    <t>ΑΒ234254</t>
  </si>
  <si>
    <t>ΦΙΛΙΠΠΟΥ ΕΛΕΥΘΕΡΙΑ</t>
  </si>
  <si>
    <t>Χ254357</t>
  </si>
  <si>
    <t>ΦΙΛΙΠΠΟΥ ΜΑΡΓΑΡΙΤΑ</t>
  </si>
  <si>
    <t>ΑΙ731719</t>
  </si>
  <si>
    <t>ΦΙΛΙΠΠΟΥΣΗ ΑΣΠΑΣΙΑ</t>
  </si>
  <si>
    <t>ΑΖ514037</t>
  </si>
  <si>
    <t>ΦΙΛΝΤΙΣΗ  ΑΓΓΕΛΙΚΗ</t>
  </si>
  <si>
    <t>Π400593</t>
  </si>
  <si>
    <t>ΦΛΟΥΡΙΔΗΣ ΠΕΤΡΟΣ</t>
  </si>
  <si>
    <t>ΑΕ649450</t>
  </si>
  <si>
    <t>ΦΛΩΡΟΣ ΛΑΜΠΡΟΣ</t>
  </si>
  <si>
    <t>ΑΗ244134</t>
  </si>
  <si>
    <t>ΦΛΩΡΟΣΚΟΥΦΗ ΕΙΡΗΝΗ</t>
  </si>
  <si>
    <t>ΑΕ246311</t>
  </si>
  <si>
    <t>ΦΛΩΡΟΥ ΔΑΦΝΗ</t>
  </si>
  <si>
    <t>Χ389540</t>
  </si>
  <si>
    <t>ΦΛΩΤΣΙΟΣ ΠΑΝΑΓΙΩΤΗΣ</t>
  </si>
  <si>
    <t>Χ332380</t>
  </si>
  <si>
    <t>ΦΟΒΑΚΗ ΕΛΕΝΗ</t>
  </si>
  <si>
    <t>ΑΜ482805</t>
  </si>
  <si>
    <t>ΦΟΥΚΑ ΑΝΑΣΤΑΣΙΑ</t>
  </si>
  <si>
    <t>Φ239392</t>
  </si>
  <si>
    <t>ΦΟΥΛΙΔΗ ΕΙΡΗΝΗ</t>
  </si>
  <si>
    <t>ΑΕ158776</t>
  </si>
  <si>
    <t>ΦΟΥΝΤΑ ΑΘΑΝΑΣΙΑ</t>
  </si>
  <si>
    <t>Χ412542</t>
  </si>
  <si>
    <t>ΦΟΥΝΤΑ ΧΡΥΣΑΝΘΗ</t>
  </si>
  <si>
    <t>ΑΒ384424</t>
  </si>
  <si>
    <t>ΦΟΥΝΤΑΛΗ  ΧΡΥΣΑΝΘΗ</t>
  </si>
  <si>
    <t>ΑΒ150542</t>
  </si>
  <si>
    <t>ΦΟΥΝΤΟΥΛΑΚΗ ΑΙΚΑΤΕΡΙΝΗ</t>
  </si>
  <si>
    <t>ΑΙ454024</t>
  </si>
  <si>
    <t>ΦΟΥΡΓΚΑΤΣΙΩΤΗ ΧΑΙΔΩ</t>
  </si>
  <si>
    <t>ΑΜ668008</t>
  </si>
  <si>
    <t>ΦΟΥΡΚΑΛΑΣ ΕΜΜΑΝΟΥΗΛ</t>
  </si>
  <si>
    <t>ΑΕ327124</t>
  </si>
  <si>
    <t>ΦΟΥΡΚΗΣ ΠΑΝΑΓΙΩΤΗΣ</t>
  </si>
  <si>
    <t>ΑΝ240356</t>
  </si>
  <si>
    <t>ΦΟΥΡΚΙΩΤΗ ΕΛΕΝΗ</t>
  </si>
  <si>
    <t>Ξ802106</t>
  </si>
  <si>
    <t xml:space="preserve">ΦΟΥΡΛΑ  ΕΥΑΓΓΕΛΙΑ </t>
  </si>
  <si>
    <t>ΑΚ 806589</t>
  </si>
  <si>
    <t>ΦΟΥΣΕΚΗΣ ΜΗΝΑΣ</t>
  </si>
  <si>
    <t>ΑΗ251973</t>
  </si>
  <si>
    <t>ΦΟΥΣΚΑ ΑΝΑΣΤΑΣΙΑ</t>
  </si>
  <si>
    <t>ΑΗ087589</t>
  </si>
  <si>
    <t>ΦΟΥΣΤΕΡΗ ΚΥΡΙΑΚΗ</t>
  </si>
  <si>
    <t>Π069630</t>
  </si>
  <si>
    <t>ΦΟΥΣΤΕΡΗΣ ΠΑΥΛΟΣ</t>
  </si>
  <si>
    <t>ΑΙ919762</t>
  </si>
  <si>
    <t>ΦΟΥΣΤΕΡΗΣ ΣΤΑΥΡΟΣ</t>
  </si>
  <si>
    <t>ΑΖ023529</t>
  </si>
  <si>
    <t>ΦΟΥΦΟΠΟΥΛΟΣ ΗΛΙΑΣ</t>
  </si>
  <si>
    <t>ΑΙ113377</t>
  </si>
  <si>
    <t>ΦΡΑΓΚΙΑΔΑΚΗ ΔΗΜΗΤΡΑ</t>
  </si>
  <si>
    <t>Ν572736</t>
  </si>
  <si>
    <t>ΦΡΑΓΚΙΑΔΑΚΗ ΕΥΓΕΝΙΑ</t>
  </si>
  <si>
    <t>Τ901828</t>
  </si>
  <si>
    <t>ΦΡΑΓΚΙΟΥΔΑΚΗ ΚΩΝΣΤΑΝΤΙΑ</t>
  </si>
  <si>
    <t>Ρ482383</t>
  </si>
  <si>
    <t>ΦΡΑΓΚΙΣΚΟΥ ΜΑΡΙΑ</t>
  </si>
  <si>
    <t>ΑΒ295795</t>
  </si>
  <si>
    <t>ΦΡΑΓΚΟΓΙΑΝΝΗ ΙΩΑΝΝΑ</t>
  </si>
  <si>
    <t>ΑΜ035985</t>
  </si>
  <si>
    <t>ΦΡΑΓΚΟΠΑΝΑΓΟΥ ΜΑΡΙΑ</t>
  </si>
  <si>
    <t>ΑΝ086869</t>
  </si>
  <si>
    <t>ΦΡΑΓΚΟΣ ΛΕΩΝΙΔΑΣ</t>
  </si>
  <si>
    <t>Τ499604</t>
  </si>
  <si>
    <t>ΦΡΑΓΚΟΣ ΠΑΡΑΣΧΟΣ</t>
  </si>
  <si>
    <t>Χ498333</t>
  </si>
  <si>
    <t>ΦΡΑΓΚΟΣ ΧΡΗΣΤΟΣ</t>
  </si>
  <si>
    <t>ΑΚ660202</t>
  </si>
  <si>
    <t>ΦΡΑΓΚΟΥ ΚΑΛΛΙΟΠΗ</t>
  </si>
  <si>
    <t>Ρ288357</t>
  </si>
  <si>
    <t>ΦΡΑΖΕΣΚΑΡΟΣ ΑΠΟΣΤΟΛΟΣ</t>
  </si>
  <si>
    <t>Σ912364</t>
  </si>
  <si>
    <t>ΦΡΑΝΤΖΗΣ ΓΡΗΓΟΡΙΟΣ</t>
  </si>
  <si>
    <t>Σ449805</t>
  </si>
  <si>
    <t>ΦΡΕΓΓΙΔΗΣ ΓΕΩΡΓΙΟΣ</t>
  </si>
  <si>
    <t>ΑΑ261003</t>
  </si>
  <si>
    <t>ΦΡΕΓΓΙΔΟΥ ΑΝΑΣΤΑΣΙΑ</t>
  </si>
  <si>
    <t>ΑΜ280325</t>
  </si>
  <si>
    <t>ΦΡΕΓΓΙΔΟΥ ΠΟΛΥΞΕΝΗ</t>
  </si>
  <si>
    <t>ΑΙ719252</t>
  </si>
  <si>
    <t>ΦΡΕΓΓΙΔΟΥ ΣΟΝΙΑ</t>
  </si>
  <si>
    <t>ΑΙ890471</t>
  </si>
  <si>
    <t>ΦΡΥΣΑΛΗΣ ΑΓΗΣΙΛΑΟΣ</t>
  </si>
  <si>
    <t>Τ332487</t>
  </si>
  <si>
    <t>ΦΤΕΡΙΩΤΗΣ ΓΕΩΡΓΙΟΣ</t>
  </si>
  <si>
    <t>ΑΜ413688</t>
  </si>
  <si>
    <t>ΦΤΩΧΟΓΙΑΝΝΗΣ ΠΑΡΑΣΚΕΥΑΣ</t>
  </si>
  <si>
    <t>Ν920512</t>
  </si>
  <si>
    <t>ΦΥΛΑΚΤΑΚΗ ΚΑΛΛΙΟΠΗ</t>
  </si>
  <si>
    <t>ΑΕ642064</t>
  </si>
  <si>
    <t>ΦΥΛΑΧΤΟΣ ΓΕΩΡΓΙΟΣ</t>
  </si>
  <si>
    <t>ΑΑ243790</t>
  </si>
  <si>
    <t>ΦΥΛΛΑΔΙΤΗΣ ΑΘΑΝΑΣ</t>
  </si>
  <si>
    <t>ΑΗ434208</t>
  </si>
  <si>
    <t>ΦΥΣΕΚΗ ΘΕΟΔΩΡΑ</t>
  </si>
  <si>
    <t>Π987869</t>
  </si>
  <si>
    <t>ΦΥΤΙΛΗΣ ΚΩΝΣΤΑΝΤΙΝΟΣ</t>
  </si>
  <si>
    <t>ΑΙ743430</t>
  </si>
  <si>
    <t>ΦΥΤΟΖΙΔΟΥ ΣΟΦΙΑ</t>
  </si>
  <si>
    <t>ΑΖ140122</t>
  </si>
  <si>
    <t>ΦΩΚΙΑΝΟΣ ΠΑΡΑΣΚΕΥΑΣ</t>
  </si>
  <si>
    <t>ΑΒ562113</t>
  </si>
  <si>
    <t>ΦΩΛΙΑ ΑΛΕΞΑΝΔΡΑ</t>
  </si>
  <si>
    <t>Σ780589</t>
  </si>
  <si>
    <t>ΦΩΡΟΖΗΔΟΥ ΔΗΜΗΤΡΑ</t>
  </si>
  <si>
    <t>Φ180258</t>
  </si>
  <si>
    <t>ΦΩΤΑΚΟΠΟΥΛΟΥ ΖΑΧΑΡΟΥΛΑ</t>
  </si>
  <si>
    <t>Σ371675</t>
  </si>
  <si>
    <t>ΦΩΤΑΡΑΣ ΓΕΩΡΓΙΟΣ</t>
  </si>
  <si>
    <t>Φ336676</t>
  </si>
  <si>
    <t>ΦΩΤΗ ΑΓΓΕΛΙΚΗ</t>
  </si>
  <si>
    <t>Π124705</t>
  </si>
  <si>
    <t>ΦΩΤΗ ΚΟΚΚΩΝΑ</t>
  </si>
  <si>
    <t>ΑΝ454581</t>
  </si>
  <si>
    <t>ΦΩΤΙΑΔΗΣ ΘΕΟΔΩΡΟΣ</t>
  </si>
  <si>
    <t>ΑΙ096608</t>
  </si>
  <si>
    <t>ΦΩΤΙΑΔΗΣ ΙΩΑΚΕΙΜ</t>
  </si>
  <si>
    <t>Π085597</t>
  </si>
  <si>
    <t>ΦΩΤΙΑΔΗΣ ΙΩΑΝΝΗΣ</t>
  </si>
  <si>
    <t>ΑΚ118409</t>
  </si>
  <si>
    <t>ΦΩΤΙΑΔΗΣ ΝΙΚΟΛΑΟΣ</t>
  </si>
  <si>
    <t>ΑΜ701597</t>
  </si>
  <si>
    <t>ΦΩΤΙΑΔΟΥ ΑΝΔΡΟΜΑΧΗ</t>
  </si>
  <si>
    <t>Χ491451</t>
  </si>
  <si>
    <t>ΦΩΤΙΑΔΟΥ ΕΛΕΝΗ</t>
  </si>
  <si>
    <t>ΑΗ791209</t>
  </si>
  <si>
    <t xml:space="preserve">ΦΩΤΙΟΥ ΧΡΥΣΟΒΑΛΑΝΤΗΣ </t>
  </si>
  <si>
    <t>ΑΜ232947</t>
  </si>
  <si>
    <t>ΦΩΤΟΓΛΟΥ ΑΝΑΣΤΑΣΙΑ</t>
  </si>
  <si>
    <t>ΑΗ281812</t>
  </si>
  <si>
    <t>ΦΩΤΟΠΟΥΛΟΣ BAΣΙΛΕΙΟΣ</t>
  </si>
  <si>
    <t>ΠΑΙ</t>
  </si>
  <si>
    <t>Σ799030</t>
  </si>
  <si>
    <t>ΦΩΤΟΠΟΥΛΟΣ ΓΕΩΡΓΙΟΣ</t>
  </si>
  <si>
    <t>Χ698763</t>
  </si>
  <si>
    <t>ΦΩΤΟΠΟΥΛΟΣ ΙΩΑΝΝΗΣ</t>
  </si>
  <si>
    <t>ΑΒ752489</t>
  </si>
  <si>
    <t>ΦΩΤΟΠΟΥΛΟΣ ΦΩΤΙΟΣ</t>
  </si>
  <si>
    <t>Τ862435</t>
  </si>
  <si>
    <t>ΦΩΤΟΠΟΥΛΟΥ ΕΛΕΝΗ</t>
  </si>
  <si>
    <t>Τ562512</t>
  </si>
  <si>
    <t>ΦΩΤΟΠΟΥΛΟΥ ΟΛΓΑ</t>
  </si>
  <si>
    <t>ΑΗ203953</t>
  </si>
  <si>
    <t>ΦΩΤΟΥ ΑΝΘΟΥΛΑ</t>
  </si>
  <si>
    <t>ΑΙ017544</t>
  </si>
  <si>
    <t>ΦΩΤΟΥ ΜΑΡΙΑΝΝΑ</t>
  </si>
  <si>
    <t>Χ178775</t>
  </si>
  <si>
    <t>ΧΑΒΕΛΑ ΓΕΩΡΓΙΑ</t>
  </si>
  <si>
    <t>Μ174021</t>
  </si>
  <si>
    <t>ΧΑΒΕΝΕΤΙΔΟΥ ΑΝΝΑ</t>
  </si>
  <si>
    <t>ΑΒ054487</t>
  </si>
  <si>
    <t>ΧΑΒΙΑΝΙΔΟΥ ΚΥΡΙΑΚΗ</t>
  </si>
  <si>
    <t>Σ768834</t>
  </si>
  <si>
    <t>ΧΑΖΑΡΙΔΗΣ ΠΑΝΑΓΙΩΤΗΣ</t>
  </si>
  <si>
    <t>Σ588186</t>
  </si>
  <si>
    <t>ΧΑΙΚΑΛΗ ΜΑΡΙΑ</t>
  </si>
  <si>
    <t>ΑΜ385438</t>
  </si>
  <si>
    <t>ΧΑΙΝΤΟΥΤΗΣ ΠΕΤΡΟΣ</t>
  </si>
  <si>
    <t>ΑΝ117470</t>
  </si>
  <si>
    <t>ΧΑΙΡΕΤΗ ΜΑΡΙΑ</t>
  </si>
  <si>
    <t>Φ255018</t>
  </si>
  <si>
    <t>ΧΑΛΑΓΙΑΝΝΗΣ ΤΡΙΑΝΤΑΦΥΛΛΟΣ</t>
  </si>
  <si>
    <t>ΑΕ815402</t>
  </si>
  <si>
    <t>ΧΑΛΑΡΗ ΤΖΩΡΤΖΙΝΑ</t>
  </si>
  <si>
    <t>Χ566593</t>
  </si>
  <si>
    <t>ΧΑΛΑΡΗΣ ΤΙΜΟΘΕΟΣ</t>
  </si>
  <si>
    <t>ΑΚ525285</t>
  </si>
  <si>
    <t>ΧΑΛΑΤΣΑΣ ΑΝΤΩΝΗΣ</t>
  </si>
  <si>
    <t>ΑΒ642033</t>
  </si>
  <si>
    <t>ΧΑΛΑΤΣΗ ΖΑΦΕΙΡΩ</t>
  </si>
  <si>
    <t>ΑΚ326111</t>
  </si>
  <si>
    <t>ΧΑΛΕΠΛΗ ΜΑΡΙΑ</t>
  </si>
  <si>
    <t>ΑΖ818243</t>
  </si>
  <si>
    <t>ΧΑΛΗ ΧΡΥΣΟΥΛΑ</t>
  </si>
  <si>
    <t>Π624283</t>
  </si>
  <si>
    <t>ΧΑΛΙΑΣΟΣ ΚΩΝΣΤΑΝΤΙΝΟΣ</t>
  </si>
  <si>
    <t>ΑΕ516188</t>
  </si>
  <si>
    <t>ΧΑΛΙΔΙΑ ΔΗΜΗΤΡΟΥΛΑ</t>
  </si>
  <si>
    <t>ΑΕ296623</t>
  </si>
  <si>
    <t>ΧΑΛΙΛΟΠΟΥΛΟΣ ΙΩΑΝΝΗΣ</t>
  </si>
  <si>
    <t>Α Π</t>
  </si>
  <si>
    <t>ΑΑ976859</t>
  </si>
  <si>
    <t>ΧΑΛΙΛΟΠΟΥΛΟΥ ΔΙΟΝΥΣΙΑ</t>
  </si>
  <si>
    <t>Χ839708</t>
  </si>
  <si>
    <t>ΧΑΛΙΛΟΠΟΥΛΟΥ ΣΟΦΙΑ</t>
  </si>
  <si>
    <t>Χ629964</t>
  </si>
  <si>
    <t xml:space="preserve">ΧΑΛΙΟΡΗ  ΑΘΗΝΑ </t>
  </si>
  <si>
    <t>Χ642502</t>
  </si>
  <si>
    <t>ΧΑΛΚΙΑ ΑΡΙΑΔΝΗ</t>
  </si>
  <si>
    <t>ΑΚ316076</t>
  </si>
  <si>
    <t xml:space="preserve">ΧΑΛΚΙΑ ΕΥΑΝΘΙΑ-ΧΡΙΣΤΙΝΑ </t>
  </si>
  <si>
    <t>Ρ224689</t>
  </si>
  <si>
    <t>ΧΑΛΚΙΑ ΜΑΡΙΑ</t>
  </si>
  <si>
    <t>ΑΚ250875</t>
  </si>
  <si>
    <t>ΧΑΛΚΙΑΔΑΚΗ ΖΑΜΠΙΑ</t>
  </si>
  <si>
    <t>ΑΜ973596</t>
  </si>
  <si>
    <t>ΧΑΛΚΙΑΣ ΙΩΑΝΝΗΣ</t>
  </si>
  <si>
    <t>Ξ896184</t>
  </si>
  <si>
    <t>ΧΑΛΚΙΑΣ ΧΡΗΣΤΟΣ</t>
  </si>
  <si>
    <t>ΑΗ834859</t>
  </si>
  <si>
    <t>ΧΑΛΚΙΔΗΣ ΧΡΗΣΤΟΣ</t>
  </si>
  <si>
    <t>Ξ872455</t>
  </si>
  <si>
    <t>ΑΗ819365</t>
  </si>
  <si>
    <t>ΧΑΛΚΙΔΟΥ ΟΛΥΜΠΙΑ</t>
  </si>
  <si>
    <t>ΑΚ102344</t>
  </si>
  <si>
    <t>ΧΑΛΜΟΥΚΗΣ ΕΥΑΓΓΕΛΟΣ</t>
  </si>
  <si>
    <t>ΑΑ306275</t>
  </si>
  <si>
    <t>ΧΑΛΟΥ ΜΑΡΙΝΑ</t>
  </si>
  <si>
    <t>ΑΑ056335</t>
  </si>
  <si>
    <t>ΧΑΜΗΛΑΚΗ ΕΙΡΗΝΗ</t>
  </si>
  <si>
    <t>Τ048538</t>
  </si>
  <si>
    <t>ΧΑΜΟΣ ΑΘΑΝΑΣΙΟΣ</t>
  </si>
  <si>
    <t>ΑΕ311121</t>
  </si>
  <si>
    <t>ΧΑΜΟΥΖΑ ΚΩΝΣΤΑΝΤΙΝΑ</t>
  </si>
  <si>
    <t>ΑΕ239776</t>
  </si>
  <si>
    <t>ΧΑΜΠΕΣΗΣ ΔΗΜΗΤΡΙΟΣ</t>
  </si>
  <si>
    <t>ΑΚ127271</t>
  </si>
  <si>
    <t>ΧΑΝΙΩΤΑΚΗΣ ΝΙΚΟΛΑΟΣ</t>
  </si>
  <si>
    <t>Ξ930808</t>
  </si>
  <si>
    <t>ΧΑΝΙΩΤΗ ΖΑΧΑΡΟΥΛΑ</t>
  </si>
  <si>
    <t>ΑΑ003484</t>
  </si>
  <si>
    <t>ΧΑΝΛΑΡΙΔΗΣ ΝΙΚΟΛΑΟΣ</t>
  </si>
  <si>
    <t>Ν437170</t>
  </si>
  <si>
    <t>ΧΑΝΤΖΑΡΑΣ ΜΙΧΑΗΛ</t>
  </si>
  <si>
    <t>ΑΚ686356</t>
  </si>
  <si>
    <t>ΧΑΝΤΖΗΣ ΓΕΩΡΓΙΟΣ</t>
  </si>
  <si>
    <t>ΑΚ651887</t>
  </si>
  <si>
    <t>ΧΑΡΑΒΗΤΙΔΟΥ Σοφια</t>
  </si>
  <si>
    <t>Μ426600</t>
  </si>
  <si>
    <t>ΧΑΡΑΛΑΜΠΙΔΗΣ ΑΝΑΣΤΑΣΙΟΣ</t>
  </si>
  <si>
    <t>ΑΒ608923</t>
  </si>
  <si>
    <t>ΧΑΡΑΛΑΜΠΙΔΟΥ ΕΥΓΕΝΙΑ</t>
  </si>
  <si>
    <t>Ξ871742</t>
  </si>
  <si>
    <t>ΧΑΡΑΛΑΜΠΙΔΟΥ ΕΥΘΑΛΙΑ</t>
  </si>
  <si>
    <t>Π867412</t>
  </si>
  <si>
    <t>ΧΑΡΑΛΑΜΠΙΔΟΥ ΜΑΡΙΕΤΑ</t>
  </si>
  <si>
    <t>ΑΕ051135</t>
  </si>
  <si>
    <t>ΧΑΡΑΛΑΜΠΙΔΟΥ ΟΛΓΑ</t>
  </si>
  <si>
    <t>Σ116020</t>
  </si>
  <si>
    <t>ΧΑΡΑΛΑΜΠΙΔΟΥ ΧΡΥΣΟΥΛΑ</t>
  </si>
  <si>
    <t>ΑΖ819922</t>
  </si>
  <si>
    <t>ΧΑΡΑΛΑΜΠΟΠΟΥΛΟΣ ΒΑΣΙΛΗΣ</t>
  </si>
  <si>
    <t>Χ837336</t>
  </si>
  <si>
    <t>ΧΑΡΑΛΑΜΠΟΠΟΥΛΟΣ ΧΡΗΣΤΟΣ</t>
  </si>
  <si>
    <t>Ν452902</t>
  </si>
  <si>
    <t>ΧΑΡΑΛΑΜΠΟΠΟΥΛΟΥ ΣΤΥΛΙΑΝΗ</t>
  </si>
  <si>
    <t>ΑΖ617241</t>
  </si>
  <si>
    <t>ΧΑΡΑΛΑΜΠΟΥΣ ΠΑΝΑΓΙΩΤΗΣ</t>
  </si>
  <si>
    <t>ΑΕ585961</t>
  </si>
  <si>
    <t>ΧΑΡΑΜΗ ΣΤΡΑΤΗΓΟΥΛΑ</t>
  </si>
  <si>
    <t>Χ109758</t>
  </si>
  <si>
    <t>ΧΑΡΙΖΑΝΑΚΗΣ ΑΘΑΝΑΣΙΟΣ</t>
  </si>
  <si>
    <t>ΑΖ345060</t>
  </si>
  <si>
    <t>ΧΑΡΚΟΤΣΙΚΑ ΕΥΘΑΛΙΑ</t>
  </si>
  <si>
    <t>Φ297557</t>
  </si>
  <si>
    <t>ΧΑΡΤΟΜΑΤΖΙΔΟΥ ΕΛΕΝΗ</t>
  </si>
  <si>
    <t>ΑΗ366498</t>
  </si>
  <si>
    <t>ΧΑΡΤΟΥΔΗ ΔΕΣΠΟΙΝΑ</t>
  </si>
  <si>
    <t>Τ468955</t>
  </si>
  <si>
    <t>ΧΑΣΑΝ ΛΟΥΤΦΗ</t>
  </si>
  <si>
    <t>ΑΑ468942</t>
  </si>
  <si>
    <t>ΧΑΣΑΝ ΤΖΟΥΝΕΙ</t>
  </si>
  <si>
    <t>ΑΙ536520</t>
  </si>
  <si>
    <t>ΧΑΣΑΝ ΟΓΛΟΥ ΟΡΧΑΝ</t>
  </si>
  <si>
    <t>ΑΗ404525</t>
  </si>
  <si>
    <t>ΧΑΣΑΝ ΠΑΠΑΙΩΑΝΝΙΔΟΥ ΓΙΑΣΜΙΝ ΜΑΡΙΑΝΝΑ</t>
  </si>
  <si>
    <t>ΜΟΧ</t>
  </si>
  <si>
    <t>ΑΚ766360</t>
  </si>
  <si>
    <t>ΧΑΣΑΝ-ΣΟΥΚΡΙΟΓΛΟΥ ΣΕΛΜΑ</t>
  </si>
  <si>
    <t>ΑΝ211330</t>
  </si>
  <si>
    <t>ΧΑΣΑΠΑΚΗ ΣΥΛΒΙΑ</t>
  </si>
  <si>
    <t>ΑΖ145843</t>
  </si>
  <si>
    <t>ΧΑΣΙΔΟΥ ΠΑΡΑΣΚΕΥΗ</t>
  </si>
  <si>
    <t>ΑΑ473380</t>
  </si>
  <si>
    <t>ΧΑΣΙΩΤΗΣ ΑΣΤΕΡΙΟΣ</t>
  </si>
  <si>
    <t>ΑΙ838991</t>
  </si>
  <si>
    <t>ΧΑΣΙΩΤΗΣ ΧΡΗΣΤΟΣ</t>
  </si>
  <si>
    <t>ΑΖ612933</t>
  </si>
  <si>
    <t>ΧΑΣΟΥΡΑ ΓΕΩΡΓΙΑ</t>
  </si>
  <si>
    <t>ΑΙ622091</t>
  </si>
  <si>
    <t>ΧΑΣΤΑΣ ΦΩΤΗΣ</t>
  </si>
  <si>
    <t>ΑΚ165272</t>
  </si>
  <si>
    <t>ΧΑΤΖΑΚΗ ΣΤΥΛΙΑΝΗ</t>
  </si>
  <si>
    <t>Ξ344376</t>
  </si>
  <si>
    <t>ΧΑΤΖΗ ΗΛΙΑΝΑ</t>
  </si>
  <si>
    <t>ΑΗ761046</t>
  </si>
  <si>
    <t>ΧΑΤΖΗ ΚΩΝΣΤΑΝΤΙΝΑ</t>
  </si>
  <si>
    <t>ΑΒ209340</t>
  </si>
  <si>
    <t>ΧΑΤΖΗΑΓΟΡΑΚΗ ΑΘΗΝΑ</t>
  </si>
  <si>
    <t>Χ750195</t>
  </si>
  <si>
    <t>ΧΑΤΖΗΑΘΑΝΑΣΙΟΥ ΚΩΝΣΤΑΝΤΙΝΑ</t>
  </si>
  <si>
    <t>ΑΝ508869</t>
  </si>
  <si>
    <t>ΧΑΤΖΗΑΠΟΣΤΟΛΙΔΟΥ ΑΣΗΜΟΥΛΑ</t>
  </si>
  <si>
    <t>Χ369225</t>
  </si>
  <si>
    <t>ΧΑΤΖΗΒΑΓΙΑΝΝΗΣ ΧΡΗΣΤΟΣ</t>
  </si>
  <si>
    <t>ΑΜ557545</t>
  </si>
  <si>
    <t>ΧΑΤΖΗΓΕΩΡΓΙΟΥ ΕΜΜΑΝΟΥΗΛ</t>
  </si>
  <si>
    <t>ΑΙ854643</t>
  </si>
  <si>
    <t>ΧΑΤΖΗΓΙΑΝΝΑΚΗΣ ΓΕΩΡΓΙΟΣ</t>
  </si>
  <si>
    <t>Τ297520</t>
  </si>
  <si>
    <t>ΧΑΤΖΗΓΙΑΝΝΙΔΗΣ ΛΑΖΑΡΟΣ</t>
  </si>
  <si>
    <t>ΑΜ172344</t>
  </si>
  <si>
    <t xml:space="preserve">ΧΑΤΖΗΔΗΜΗΤΡΙΟΥ  ΔΗΜΟΣΘΕΝΗΣ </t>
  </si>
  <si>
    <t>Ξ142325</t>
  </si>
  <si>
    <t>ΧΑΤΖΗΔΡΟΣΟΣ ΑΝΤΩΝΙΟΣ</t>
  </si>
  <si>
    <t>ΑΜ494473</t>
  </si>
  <si>
    <t>ΧΑΤΖΗΘΕΟΔΩΡΙΔΟΥ ΑΘΗΝΑ</t>
  </si>
  <si>
    <t>ΑΖ873092</t>
  </si>
  <si>
    <t>ΧΑΤΖΗΙΟΡΔΑΝΗΣ ΒΛΑΣΙΟΣ</t>
  </si>
  <si>
    <t>Φ263088</t>
  </si>
  <si>
    <t>ΧΑΤΖΗΙΩΑΝΝΟΥ ΑΝΑΣΤΑΣΙΑ</t>
  </si>
  <si>
    <t>Φ483039</t>
  </si>
  <si>
    <t>ΧΑΤΖΗΙΩΑΝΝΟΥ ΒΑΡΒΑΡΑ</t>
  </si>
  <si>
    <t>ΑΝ419412</t>
  </si>
  <si>
    <t>ΧΑΤΖΗΙΩΑΝΝΟΥ ΧΡΗΣΤΟΣ</t>
  </si>
  <si>
    <t>ΑΖ804761</t>
  </si>
  <si>
    <t>ΧΑΤΖΗΚΥΡΙΑΚΟΥ ΣΤΕΛΛΑ</t>
  </si>
  <si>
    <t>Χ159648</t>
  </si>
  <si>
    <t>ΧΑΤΖΗΚΥΡΙΑΚΟΥ ΣΤΥΛΙΑΝΗ</t>
  </si>
  <si>
    <t>ΑΗ128436</t>
  </si>
  <si>
    <t>ΧΑΤΖΗΛΑΖΑΡΟΥ ΟΛΓΑ</t>
  </si>
  <si>
    <t>ΑΒ280936</t>
  </si>
  <si>
    <t>ΧΑΤΖΗΜΠΑΡΜΠΕΡΑΚΗ ΑΘΗΝΑ</t>
  </si>
  <si>
    <t>ΑΖ501777</t>
  </si>
  <si>
    <t>ΥΕ ΒΟΗΘΗΤΙΚΟΥ ΠΡΟΣΩΠΙΚΟΥ ΥΔΡΑΥΛΙΚΩΝ</t>
  </si>
  <si>
    <t>ΧΑΤΖΗΝΙΚΟΛΑΚΗΣ ΓΕΩΡΓΙΟΣ</t>
  </si>
  <si>
    <t>ΑΚ746214</t>
  </si>
  <si>
    <t>ΧΑΤΖΗΝΙΚΟΛΑΟΥ ΝΙΚΟΛΑΟΣ</t>
  </si>
  <si>
    <t>ΑΙ264580</t>
  </si>
  <si>
    <t>ΧΑΤΖΗΝΙΚΟΛΑΟΥ ΦΩΤΕΙΝΗ</t>
  </si>
  <si>
    <t>ΑΕ942712</t>
  </si>
  <si>
    <t>ΧΑΤΖΗΝΙΚΟΛΕΛΗΣ ΙΩΑΝΝΗΣ</t>
  </si>
  <si>
    <t>ΑΝ271017</t>
  </si>
  <si>
    <t>ΧΑΤΖΗΠΑΡΑΣΚΕΥΑΣ ΓΕΩΡΓΙΟΣ</t>
  </si>
  <si>
    <t>ΑΕ598429</t>
  </si>
  <si>
    <t>ΧΑΤΖΗΣ ΚΩΝΣΤΑΝΤΙΝΟΣ</t>
  </si>
  <si>
    <t>ΑΜ853948</t>
  </si>
  <si>
    <t>ΧΑΤΖΗΣ ΝΙΚΗΣΤΡΑΤΟΣ</t>
  </si>
  <si>
    <t>Χ426330</t>
  </si>
  <si>
    <t>ΧΑΤΖΗΣΒΕΣΤΟΥ ΜΑΡΙΑ</t>
  </si>
  <si>
    <t>ΑΖ057321</t>
  </si>
  <si>
    <t>ΧΑΤΖΗΣΤΕΦΑΝΗΣ ΧΑΡΑΛΑΜΠΟΣ</t>
  </si>
  <si>
    <t>ΜΟΔ</t>
  </si>
  <si>
    <t>ΑΝ158990</t>
  </si>
  <si>
    <t>ΧΑΤΖΗΣΤΕΦΑΝΙΔΟΥ ΓΕΩΡΓΙΑ</t>
  </si>
  <si>
    <t>Τ215245</t>
  </si>
  <si>
    <t>ΧΑΤΖΗΣΥΜΕΩΝΙΔΟΥ ΔΕΣΠΟΙΝΑ</t>
  </si>
  <si>
    <t>Ρ745738</t>
  </si>
  <si>
    <t>ΧΑΤΖΗΤΡΙΑΝΤΑΦΥΛΛΟΥ ΔΗΜΗΤΡΑ</t>
  </si>
  <si>
    <t>Σ467897</t>
  </si>
  <si>
    <t>ΧΑΤΖΟΠΟΥΛΟΥ ΒΑΡΒΑΡΑ</t>
  </si>
  <si>
    <t>Σ607783</t>
  </si>
  <si>
    <t>ΧΑΤΟΥΤΣΙΔΗ ΠΑΡΘΕΝΑ</t>
  </si>
  <si>
    <t>ΑΚ813207</t>
  </si>
  <si>
    <t>ΧΑΤΟΥΤΣΙΔΗ ΧΡΙΣΤΙΝΑ</t>
  </si>
  <si>
    <t>ΑΒ529165</t>
  </si>
  <si>
    <t>ΧΑΤΣΗΟΓΛΟΥ ΙΡΦΑΝ</t>
  </si>
  <si>
    <t>ΡΙΦ</t>
  </si>
  <si>
    <t>ΑΖ411788</t>
  </si>
  <si>
    <t>ΧΑΧΟΥΛΗ ΒΑΣΙΛΙΚΗ</t>
  </si>
  <si>
    <t>Χ960624</t>
  </si>
  <si>
    <t>ΧΑΧΟΥΜΗΣ ΑΘΑΝΑΣΙΟΣ</t>
  </si>
  <si>
    <t>Σ341493</t>
  </si>
  <si>
    <t>ΧΑΨΑΣ ΧΑΡΑΛΑΜΠΟΣ</t>
  </si>
  <si>
    <t>Π710033</t>
  </si>
  <si>
    <t>ΧΕΙΛΑ  ΔΗΜΗΤΡΑ</t>
  </si>
  <si>
    <t>Ρ985202</t>
  </si>
  <si>
    <t>ΧΕΙΛΑΚΟΥ ΜΑΡΙΑ</t>
  </si>
  <si>
    <t>Χ186974</t>
  </si>
  <si>
    <t>ΧΕΙΜΑΡΙΟΥ ΣΩΤΗΡΙΑ</t>
  </si>
  <si>
    <t>ΑΒ523219</t>
  </si>
  <si>
    <t>ΧΕΙΜΩΝΑ ΒΑΣΙΛ</t>
  </si>
  <si>
    <t>Ξ880875</t>
  </si>
  <si>
    <t>ΧΕΙΜΩΝΙΔΟΥ ΣΥΜΕΛΑ</t>
  </si>
  <si>
    <t>ΑΒ742538</t>
  </si>
  <si>
    <t>ΧΕΛΗ ΒΑΣΙΛΙΚΗ</t>
  </si>
  <si>
    <t>Ρ781784</t>
  </si>
  <si>
    <t>ΧΕΛΙΩΤΗ ΒΕΝΕΤΙΑ</t>
  </si>
  <si>
    <t>ΑΕ097413</t>
  </si>
  <si>
    <t>ΧΗΡΑΣ ΝΙΚΟΛΑΟΣ</t>
  </si>
  <si>
    <t>Ν844301</t>
  </si>
  <si>
    <t>Χηρας Αθανασιος</t>
  </si>
  <si>
    <t>ΑΒ730384</t>
  </si>
  <si>
    <t>ΧΙΛΗ ΕΛΕΝΗ</t>
  </si>
  <si>
    <t>ΑΕ154788</t>
  </si>
  <si>
    <t>ΧΙΡΜΠΑΚΗΣ ΣΤΥΛΙΑΝΟΣ - ΜΑΡΚΟΣ</t>
  </si>
  <si>
    <t>Τ488178</t>
  </si>
  <si>
    <t>ΧΙΤΗΡΗΣ ΝΙΚΟΛΑΟΣ</t>
  </si>
  <si>
    <t>ΑΖ755841</t>
  </si>
  <si>
    <t xml:space="preserve">ΧΝΙΤΙΔΟΥ ΕΥΔΟΞΙΑ </t>
  </si>
  <si>
    <t>Χ 260340</t>
  </si>
  <si>
    <t>ΧΟΝΔΡΟΓΙΑΝΝΗ ΑΘΗΝΑ</t>
  </si>
  <si>
    <t>ΑΗ477104</t>
  </si>
  <si>
    <t xml:space="preserve">ΧΟΝΔΡΟΓΙΑΝΝΗΣ  ΑΝΔΡΕΑΣ </t>
  </si>
  <si>
    <t>ΑΗ057190</t>
  </si>
  <si>
    <t>ΧΟΝΔΡΟΛΕΟΥ ΣΟΦΙΑ</t>
  </si>
  <si>
    <t>Ρ782947</t>
  </si>
  <si>
    <t>ΧΟΝΔΡΟΣ ΧΡΥΣΟΒΑΛΑΝΤΗΣ</t>
  </si>
  <si>
    <t>ΑΜ932521</t>
  </si>
  <si>
    <t>ΧΟΡΑΒΙΔΟΥ ΜΑΡΙΑ</t>
  </si>
  <si>
    <t>Ρ602672</t>
  </si>
  <si>
    <t>ΧΟΡΜΠΑ ΠΑΝΑΓΙΩΤΑ</t>
  </si>
  <si>
    <t>Χ306251</t>
  </si>
  <si>
    <t>ΧΟΡΟΒΙΔΟΥ ΚΛΕΟΝΑ</t>
  </si>
  <si>
    <t>ΑΙ631871</t>
  </si>
  <si>
    <t>ΧΟΥΔΑΛΑΚΗΣ ΔΗΜΗΤΡΗΣ</t>
  </si>
  <si>
    <t>ΑΕ973988</t>
  </si>
  <si>
    <t>ΧΟΥΔΑΛΑΚΗΣ ΙΩΑΝΝΗΣ</t>
  </si>
  <si>
    <t>Χ627953</t>
  </si>
  <si>
    <t>ΧΟΥΝΤΑΣΗΣ ΣΤΑΥΡΟΣ</t>
  </si>
  <si>
    <t>Χ073410</t>
  </si>
  <si>
    <t>ΧΟΥΣΕΙΝ ΓΚΙΟΥΛΣΕΝ</t>
  </si>
  <si>
    <t>ΑΗ087546</t>
  </si>
  <si>
    <t>ΧΟΥΣΜΕΝ ΓΚΙΟΥΛΙΖΕ</t>
  </si>
  <si>
    <t>ΧΑΜ</t>
  </si>
  <si>
    <t>ΑΖ898540</t>
  </si>
  <si>
    <t>ΧΟΥΣΝΗ ΝΕΝΤΙΜΕ</t>
  </si>
  <si>
    <t>ΑΙ896855</t>
  </si>
  <si>
    <t>ΧΟΥΤΑ ΕΛΕΝΗ</t>
  </si>
  <si>
    <t>ΑΙ261900</t>
  </si>
  <si>
    <t>ΧΟΥΤΑ ΜΑΡΙΑ</t>
  </si>
  <si>
    <t>ΑΗ323095</t>
  </si>
  <si>
    <t>ΧΡΗΣΤΑΚΗΣ ΒΑΣΙΛΕΙΟΣ</t>
  </si>
  <si>
    <t>Χ042480</t>
  </si>
  <si>
    <t>ΧΡΗΣΤΑΚΗΣ ΕΜΜΑΝΟΥΗΛ</t>
  </si>
  <si>
    <t>Ξ444608</t>
  </si>
  <si>
    <t>ΧΡΗΣΤΕΛΗ ΕΥΑΓΓΕΛΙΑ</t>
  </si>
  <si>
    <t>Σ124040</t>
  </si>
  <si>
    <t>ΧΡΗΣΤΙΔΗΣ ΣΩΤΗΡΙΟΣ</t>
  </si>
  <si>
    <t>ΑΖ833409</t>
  </si>
  <si>
    <t>ΧΡΗΣΤΟΒΙΤΣΗ ΧΡΙΣΤΙΝΑ</t>
  </si>
  <si>
    <t>ΑΙ337459</t>
  </si>
  <si>
    <t xml:space="preserve">ΧΡΗΣΤΟΣ  ΠΑΪΣΙΟΣ </t>
  </si>
  <si>
    <t>ΑΝ035359</t>
  </si>
  <si>
    <t>ΧΡΗΣΤΟΥ ΑΚΙΝΔΥΝΟΥΛΑ</t>
  </si>
  <si>
    <t>Χ599488</t>
  </si>
  <si>
    <t>ΧΡΗΣΤΟΥ ΒΙΚΤΩΡΙΑ</t>
  </si>
  <si>
    <t>Τ335483</t>
  </si>
  <si>
    <t>ΧΡΗΣΤΟΥ ΜΙΧΑΛΗΣ</t>
  </si>
  <si>
    <t>Χ831363</t>
  </si>
  <si>
    <t>ΧΡΗΣΤΟΥ ΤΡΙΑΔΑ</t>
  </si>
  <si>
    <t>Σ890758</t>
  </si>
  <si>
    <t>ΧΡΗΣΤΟΥ ΦΑΝΗ</t>
  </si>
  <si>
    <t>Ρ346520</t>
  </si>
  <si>
    <t>ΧΡΙΣΤΑΚΑΚΗ ΝΙΚΟΛΕΤΑ</t>
  </si>
  <si>
    <t>ΑΖ899059</t>
  </si>
  <si>
    <t>ΧΡΙΣΤΑΚΗ ΔΕΣΠΟΙΝΑ</t>
  </si>
  <si>
    <t>ΑΜ509290</t>
  </si>
  <si>
    <t>ΧΡΙΣΤΑΚΗ ΧΡΥΣΟΥΛΑ</t>
  </si>
  <si>
    <t>ΑΑ308700</t>
  </si>
  <si>
    <t>ΧΡΙΣΤΟΔΟΥΛΗ ΘΕΟΦΑΝΩ</t>
  </si>
  <si>
    <t>Ρ800958</t>
  </si>
  <si>
    <t>ΧΡΙΣΤΟΔΟΥΛΙΔΗΣ ΙΩΑΝΝΗΣ</t>
  </si>
  <si>
    <t>Χ556048</t>
  </si>
  <si>
    <t>ΧΡΙΣΤΟΔΟΥΛΟΥ ΑΘΗΝΑ</t>
  </si>
  <si>
    <t>Ξ789046</t>
  </si>
  <si>
    <t>ΧΡΙΣΤΟΔΟΥΛΟΥ ΓΕΩΡΓΙΑ</t>
  </si>
  <si>
    <t>Χ436139</t>
  </si>
  <si>
    <t>ΧΡΙΣΤΟΔΟΥΛΟΥ ΕΥΑΓΓΕΛΙΑ</t>
  </si>
  <si>
    <t>ΑΗ762933</t>
  </si>
  <si>
    <t>ΧΡΙΣΤΟΔΟΥΛΟΥ ΚΩΝΣΤΑΝΤΙΝΟΣ</t>
  </si>
  <si>
    <t>Σ637002</t>
  </si>
  <si>
    <t>ΧΡΙΣΤΟΔΟΥΛΟΥ ΠΑΥΛΟΣ</t>
  </si>
  <si>
    <t>ΑΜ625769</t>
  </si>
  <si>
    <t>ΧΡΙΣΤΟΔΟΥΛΟΥ ΧΑΡΑΛΑΜΠΟΣ</t>
  </si>
  <si>
    <t>ΑΙ409851</t>
  </si>
  <si>
    <t>ΧΡΙΣΤΟΔΟΥΛΟΥ ΧΡΙΣΤΙΝΑ</t>
  </si>
  <si>
    <t>Φ263846</t>
  </si>
  <si>
    <t>ΧΡΙΣΤΟΠΟΥΛΟΣ ΙΩΑΝΝΗΣ</t>
  </si>
  <si>
    <t>Σ288312</t>
  </si>
  <si>
    <t>ΧΡΙΣΤΟΠΟΥΛΟΣ ΠΑΝΑΓΙΟΤΗΣ</t>
  </si>
  <si>
    <t>ΑΖ091464</t>
  </si>
  <si>
    <t>ΧΡΙΣΤΟΠΟΥΛΟΥ ΔΕΣΠΟΙΝΑ</t>
  </si>
  <si>
    <t>ΑΒ626564</t>
  </si>
  <si>
    <t>ΧΡΙΣΤΟΦΟΡΙΔΗΣ ΓΕΩΡΓΙΟΣ</t>
  </si>
  <si>
    <t>ΕΚΤ</t>
  </si>
  <si>
    <t>ΑΚ892169</t>
  </si>
  <si>
    <t xml:space="preserve">ΧΡΙΣΤΟΦΟΡΙΔΟΥ ΕΥΓΕΝΙΑ </t>
  </si>
  <si>
    <t>Φ191219</t>
  </si>
  <si>
    <t>ΧΡΙΣΤΟΦΟΡΟΥ ΓΕΩΡΓΙΟΣ</t>
  </si>
  <si>
    <t>Ξ113842</t>
  </si>
  <si>
    <t>ΧΡΙΤΗ ΕΛΕΝΗ</t>
  </si>
  <si>
    <t>Φ348455</t>
  </si>
  <si>
    <t>ΧΡΟΝΗ ΧΡΥΣΑΥΓΗ</t>
  </si>
  <si>
    <t>ΑΑ420030</t>
  </si>
  <si>
    <t>ΧΡΟΝΗΣ ΠΑΝΑΓΙΩΤΗΣ</t>
  </si>
  <si>
    <t>ΑΒ490607</t>
  </si>
  <si>
    <t>ΧΡΟΝΟΠΟΥΛΟΥ ΜΑΡΙΑ</t>
  </si>
  <si>
    <t>Ρ818888</t>
  </si>
  <si>
    <t>ΧΡΥΣΑΝΘΑΚΟΠΟΥΛΟΣ ΕΜΜΑΝΟΥΗΛ</t>
  </si>
  <si>
    <t>ΑΙ051907</t>
  </si>
  <si>
    <t>ΧΡΥΣΑΝΘΟΠΟΥΛΟΥ ΜΑΡΙΑ</t>
  </si>
  <si>
    <t>ΑΕ817439</t>
  </si>
  <si>
    <t>ΧΡΥΣΑΦΙΔΗΣ ΒΑΣΙΛΕΙΟΣ</t>
  </si>
  <si>
    <t>ΑΙ330255</t>
  </si>
  <si>
    <t>ΧΡΥΣΑΦΙΔΟΥ ΑΝΑΣΤΑΣΙΑ</t>
  </si>
  <si>
    <t>ΑΚ284718</t>
  </si>
  <si>
    <t>ΧΡΥΣΙΔΟΥ ΠΑΡΘΕΝΑ</t>
  </si>
  <si>
    <t>ΑΗ010231</t>
  </si>
  <si>
    <t>ΧΡΥΣΙΝΑΣ ΧΡΗΣΤΟΣ</t>
  </si>
  <si>
    <t>ΑΜ738065</t>
  </si>
  <si>
    <t>ΧΡΥΣΟΓΛΟΥ ΑΙΚΑΤΕΡΙΝA</t>
  </si>
  <si>
    <t>ΑΝ702999</t>
  </si>
  <si>
    <t>ΧΡΥΣΟΠΟΥΛΟΥ ΕΛΕΝΗ</t>
  </si>
  <si>
    <t>ΑΚ056575</t>
  </si>
  <si>
    <t>ΧΡΥΣΟΥΛΑΚΗ ΕΥΑΓΓΕΛΙΑ ΑΝΝΑ</t>
  </si>
  <si>
    <t>Χ529871</t>
  </si>
  <si>
    <t>ΧΡΥΣΟΥΛΑΣ ΓΕΩΡΓΙΟΣ</t>
  </si>
  <si>
    <t>ΑΜ832661</t>
  </si>
  <si>
    <t>ΧΡΥΣΟΧΟΙΔΗΣ ΧΑΡΑΛΑΜΠΟΣ</t>
  </si>
  <si>
    <t>ΑΜ656238</t>
  </si>
  <si>
    <t>ΧΡΥΣΟΧΟΟΥ ΑΡΓΥΡΩ</t>
  </si>
  <si>
    <t>ΑΝ690870</t>
  </si>
  <si>
    <t>ΧΩΛΟΠΟΥΛΟΣ ΘΕΟΧΑΡΗΣ</t>
  </si>
  <si>
    <t>Τ371837</t>
  </si>
  <si>
    <t>ΧΩΡΙΑΝΟΠΟΥΛΟΣ ΚΩΝΣΤΑΝΤΙΝΟΣ</t>
  </si>
  <si>
    <t>ΑΚ710155</t>
  </si>
  <si>
    <t xml:space="preserve">ΧΩΡΙΑΝΟΠΟΥΛΟΣ ΝΙΚΟΛΑΟΣ </t>
  </si>
  <si>
    <t>Φ033208</t>
  </si>
  <si>
    <t>ΧΩΡΙΑΤΗ ΒΑΣΙΛΙΚΗ</t>
  </si>
  <si>
    <t>Φ060509</t>
  </si>
  <si>
    <t>ΧΩΡΟΠΑΝΙΤΟΥ ΜΑΡΙΑ</t>
  </si>
  <si>
    <t>ΑΝ370258</t>
  </si>
  <si>
    <t>ΨΑΘΑ ΜΑΡΙΑ</t>
  </si>
  <si>
    <t>Χ677136</t>
  </si>
  <si>
    <t>Ξ905254</t>
  </si>
  <si>
    <t>ΨΑΡΑΔΕΛΗΣ ΒΑΣΙΛΕΙΟΣ</t>
  </si>
  <si>
    <t>ΑΒ944308</t>
  </si>
  <si>
    <t>ΨΑΡΑΚΗΣ  ΖΑΧΑΡΙΑΣ</t>
  </si>
  <si>
    <t>Χ112359</t>
  </si>
  <si>
    <t>ΨΑΡΑΥΤΗ ΤΡΙΑΝΤΑΦΥΛΛΙΑ</t>
  </si>
  <si>
    <t>Ρ638959</t>
  </si>
  <si>
    <t>ΨΑΡΙΔΗΣ ΚΟΣΜΑΣ</t>
  </si>
  <si>
    <t>ΑΜ274643</t>
  </si>
  <si>
    <t>ΨΑΡΟΠΟΥΛΟΣ ΝΙΚΟΛΑΟΣ</t>
  </si>
  <si>
    <t>ΑΜ684219</t>
  </si>
  <si>
    <t>ΨΑΡΟΣ ΑΧΙΛΛΕΑΣ</t>
  </si>
  <si>
    <t>ΑΗ930770</t>
  </si>
  <si>
    <t xml:space="preserve">ΨΑΡΟΥΔΑΚΗΣ ΒΑΓΓΟΣ </t>
  </si>
  <si>
    <t>ΑΙ959751</t>
  </si>
  <si>
    <t>ΨΑΡΡΑΚΟΣ ΠΑΝΑΓΙΩΤΗΣ</t>
  </si>
  <si>
    <t>ΔΡΑ</t>
  </si>
  <si>
    <t>Σ287086</t>
  </si>
  <si>
    <t>ΨΑΡΡΟΣ ΠΕΡΙΚΛΗΣ</t>
  </si>
  <si>
    <t>ΑΖ759802</t>
  </si>
  <si>
    <t>ΨΕΥΤΗ ΔΗΜΗΤΡΑ</t>
  </si>
  <si>
    <t>ΑΖ980566</t>
  </si>
  <si>
    <t>ΨΙΑΝΟΥ ΒΑΣΙΛΙΚΗ - ΧΡΥΣΟΒΑΛΑΝΤΟΥ</t>
  </si>
  <si>
    <t>Ρ872848</t>
  </si>
  <si>
    <t>ΨΥΡΟΥΚΗ ΚΑΛΛΙΟΠΗ</t>
  </si>
  <si>
    <t>Χ419806</t>
  </si>
  <si>
    <t>ΨΥΧΑΡΗ ΑΔΑΜΑΝΤΙΑ</t>
  </si>
  <si>
    <t>ΑΖ033289</t>
  </si>
  <si>
    <t>ΨΥΧΟΓΥΙΟΥ ΑΜΑΛΙΑ</t>
  </si>
  <si>
    <t>ΑΒ192661</t>
  </si>
  <si>
    <t>ΨΩΜΑ ΕΛΕΝΗ</t>
  </si>
  <si>
    <t>ΑΖ89812</t>
  </si>
  <si>
    <t>ΨΩΜΑΔΑΚΗ ΓΕΩΡΓΙΑ</t>
  </si>
  <si>
    <t>Ρ209236</t>
  </si>
  <si>
    <t>ΨΩΜΑΔΕΛΗΣ ΓΕΩΡΓΙΟΣ</t>
  </si>
  <si>
    <t>ΑΚ321239</t>
  </si>
  <si>
    <t>ΨΩΜΑΚΕΛΛΗ ΦΩΤΩ</t>
  </si>
  <si>
    <t>Χ553604</t>
  </si>
  <si>
    <t>ΨΩΜΑΣ ΘΕΟΔΩΡΟΣ</t>
  </si>
  <si>
    <t>Χ256301</t>
  </si>
  <si>
    <t>ΨΩΜΙΑΔΗΣ ΓΕΩΡΓΙΟΣ</t>
  </si>
  <si>
    <t>ΑΜ599494</t>
  </si>
  <si>
    <t>ΨΩΜΙΑΔΟΥ ΑΓΑΠΗ</t>
  </si>
  <si>
    <t>Ρ870258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</si>
</sst>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287"/>
  <sheetViews>
    <sheetView tabSelected="1" topLeftCell="A4374" workbookViewId="0">
      <selection activeCell="K19" sqref="K19"/>
    </sheetView>
  </sheetViews>
  <sheetFormatPr defaultRowHeight="15"/>
  <cols>
    <col min="3" max="3" width="43" bestFit="1" customWidth="1"/>
  </cols>
  <sheetData>
    <row r="1" spans="1:13">
      <c r="A1" t="s">
        <v>0</v>
      </c>
    </row>
    <row r="2" spans="1:13">
      <c r="A2" t="s">
        <v>1</v>
      </c>
    </row>
    <row r="4" spans="1:13">
      <c r="A4" t="s">
        <v>2</v>
      </c>
    </row>
    <row r="6" spans="1:13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</row>
    <row r="7" spans="1:13">
      <c r="A7">
        <v>1</v>
      </c>
      <c r="B7">
        <v>63980</v>
      </c>
      <c r="C7" t="s">
        <v>16</v>
      </c>
      <c r="D7" t="s">
        <v>17</v>
      </c>
      <c r="E7" t="s">
        <v>18</v>
      </c>
      <c r="F7" t="str">
        <f>"00274733"</f>
        <v>00274733</v>
      </c>
      <c r="G7" t="s">
        <v>19</v>
      </c>
      <c r="H7" t="s">
        <v>20</v>
      </c>
      <c r="I7">
        <v>1531</v>
      </c>
      <c r="J7" t="s">
        <v>21</v>
      </c>
      <c r="K7">
        <v>0</v>
      </c>
      <c r="M7">
        <v>1588</v>
      </c>
    </row>
    <row r="8" spans="1:13">
      <c r="A8">
        <v>2</v>
      </c>
      <c r="B8">
        <v>96223</v>
      </c>
      <c r="C8" t="s">
        <v>22</v>
      </c>
      <c r="D8" t="s">
        <v>23</v>
      </c>
      <c r="E8">
        <v>32257761</v>
      </c>
      <c r="F8" t="str">
        <f>"00239528"</f>
        <v>00239528</v>
      </c>
      <c r="G8" t="s">
        <v>24</v>
      </c>
      <c r="H8" t="s">
        <v>20</v>
      </c>
      <c r="I8">
        <v>1577</v>
      </c>
      <c r="J8" t="s">
        <v>21</v>
      </c>
      <c r="K8">
        <v>0</v>
      </c>
      <c r="L8" t="s">
        <v>25</v>
      </c>
      <c r="M8">
        <v>1128</v>
      </c>
    </row>
    <row r="9" spans="1:13">
      <c r="A9">
        <v>3</v>
      </c>
      <c r="B9">
        <v>74440</v>
      </c>
      <c r="C9" t="s">
        <v>26</v>
      </c>
      <c r="D9" t="s">
        <v>27</v>
      </c>
      <c r="E9" t="s">
        <v>28</v>
      </c>
      <c r="F9" t="str">
        <f>"00368891"</f>
        <v>00368891</v>
      </c>
      <c r="G9" t="s">
        <v>29</v>
      </c>
      <c r="H9" t="s">
        <v>20</v>
      </c>
      <c r="I9">
        <v>1446</v>
      </c>
      <c r="J9" t="s">
        <v>21</v>
      </c>
      <c r="K9">
        <v>0</v>
      </c>
      <c r="M9">
        <v>1428</v>
      </c>
    </row>
    <row r="10" spans="1:13">
      <c r="A10">
        <v>4</v>
      </c>
      <c r="B10">
        <v>101694</v>
      </c>
      <c r="C10" t="s">
        <v>30</v>
      </c>
      <c r="D10" t="s">
        <v>31</v>
      </c>
      <c r="E10" t="s">
        <v>32</v>
      </c>
      <c r="F10" t="str">
        <f>"00224022"</f>
        <v>00224022</v>
      </c>
      <c r="G10" t="s">
        <v>33</v>
      </c>
      <c r="H10" t="s">
        <v>34</v>
      </c>
      <c r="I10">
        <v>1373</v>
      </c>
      <c r="J10" t="s">
        <v>21</v>
      </c>
      <c r="K10">
        <v>6</v>
      </c>
      <c r="L10" t="s">
        <v>35</v>
      </c>
      <c r="M10">
        <v>675</v>
      </c>
    </row>
    <row r="11" spans="1:13">
      <c r="A11">
        <v>5</v>
      </c>
      <c r="B11">
        <v>66982</v>
      </c>
      <c r="C11" t="s">
        <v>36</v>
      </c>
      <c r="D11" t="s">
        <v>37</v>
      </c>
      <c r="E11">
        <v>7480380</v>
      </c>
      <c r="F11" t="str">
        <f>"00406712"</f>
        <v>00406712</v>
      </c>
      <c r="G11" t="s">
        <v>38</v>
      </c>
      <c r="H11" t="s">
        <v>39</v>
      </c>
      <c r="I11">
        <v>1634</v>
      </c>
      <c r="J11" t="s">
        <v>21</v>
      </c>
      <c r="K11">
        <v>6</v>
      </c>
      <c r="L11" t="s">
        <v>35</v>
      </c>
      <c r="M11">
        <v>708</v>
      </c>
    </row>
    <row r="12" spans="1:13">
      <c r="A12">
        <v>6</v>
      </c>
      <c r="B12">
        <v>60990</v>
      </c>
      <c r="C12" t="s">
        <v>40</v>
      </c>
      <c r="D12" t="s">
        <v>41</v>
      </c>
      <c r="E12">
        <v>22899961</v>
      </c>
      <c r="F12" t="str">
        <f>"00369860"</f>
        <v>00369860</v>
      </c>
      <c r="G12" t="s">
        <v>42</v>
      </c>
      <c r="H12" t="s">
        <v>43</v>
      </c>
      <c r="I12">
        <v>1712</v>
      </c>
      <c r="J12" t="s">
        <v>21</v>
      </c>
      <c r="K12">
        <v>0</v>
      </c>
      <c r="L12" t="s">
        <v>35</v>
      </c>
      <c r="M12">
        <v>1000</v>
      </c>
    </row>
    <row r="13" spans="1:13">
      <c r="A13">
        <v>7</v>
      </c>
      <c r="B13">
        <v>72869</v>
      </c>
      <c r="C13" t="s">
        <v>44</v>
      </c>
      <c r="D13" t="s">
        <v>45</v>
      </c>
      <c r="E13" t="s">
        <v>46</v>
      </c>
      <c r="F13" t="str">
        <f>"201511011281"</f>
        <v>201511011281</v>
      </c>
      <c r="G13" t="s">
        <v>47</v>
      </c>
      <c r="H13" t="s">
        <v>48</v>
      </c>
      <c r="I13">
        <v>1623</v>
      </c>
      <c r="J13" t="s">
        <v>21</v>
      </c>
      <c r="K13">
        <v>0</v>
      </c>
      <c r="M13">
        <v>1327</v>
      </c>
    </row>
    <row r="14" spans="1:13">
      <c r="A14">
        <v>8</v>
      </c>
      <c r="B14">
        <v>114060</v>
      </c>
      <c r="C14" t="s">
        <v>49</v>
      </c>
      <c r="D14" t="s">
        <v>50</v>
      </c>
      <c r="E14" t="s">
        <v>51</v>
      </c>
      <c r="F14" t="str">
        <f>"00419481"</f>
        <v>00419481</v>
      </c>
      <c r="G14" t="s">
        <v>52</v>
      </c>
      <c r="H14" t="s">
        <v>20</v>
      </c>
      <c r="I14">
        <v>1503</v>
      </c>
      <c r="J14" t="s">
        <v>21</v>
      </c>
      <c r="K14">
        <v>0</v>
      </c>
      <c r="L14" t="s">
        <v>35</v>
      </c>
      <c r="M14">
        <v>1000</v>
      </c>
    </row>
    <row r="15" spans="1:13">
      <c r="A15">
        <v>9</v>
      </c>
      <c r="B15">
        <v>50263</v>
      </c>
      <c r="C15" t="s">
        <v>53</v>
      </c>
      <c r="D15" t="s">
        <v>54</v>
      </c>
      <c r="E15" t="s">
        <v>55</v>
      </c>
      <c r="F15" t="str">
        <f>"00348708"</f>
        <v>00348708</v>
      </c>
      <c r="G15" t="s">
        <v>38</v>
      </c>
      <c r="H15" t="s">
        <v>39</v>
      </c>
      <c r="I15">
        <v>1634</v>
      </c>
      <c r="J15" t="s">
        <v>21</v>
      </c>
      <c r="K15">
        <v>6</v>
      </c>
      <c r="L15" t="s">
        <v>35</v>
      </c>
      <c r="M15">
        <v>794</v>
      </c>
    </row>
    <row r="16" spans="1:13">
      <c r="A16">
        <v>10</v>
      </c>
      <c r="B16">
        <v>91035</v>
      </c>
      <c r="C16" t="s">
        <v>56</v>
      </c>
      <c r="D16" t="s">
        <v>57</v>
      </c>
      <c r="E16" t="s">
        <v>58</v>
      </c>
      <c r="F16" t="str">
        <f>"00198552"</f>
        <v>00198552</v>
      </c>
      <c r="G16" t="s">
        <v>47</v>
      </c>
      <c r="H16" t="s">
        <v>48</v>
      </c>
      <c r="I16">
        <v>1623</v>
      </c>
      <c r="J16" t="s">
        <v>21</v>
      </c>
      <c r="K16">
        <v>0</v>
      </c>
      <c r="L16" t="s">
        <v>59</v>
      </c>
      <c r="M16">
        <v>981</v>
      </c>
    </row>
    <row r="17" spans="1:13">
      <c r="A17">
        <v>11</v>
      </c>
      <c r="B17">
        <v>113905</v>
      </c>
      <c r="C17" t="s">
        <v>60</v>
      </c>
      <c r="D17" t="s">
        <v>61</v>
      </c>
      <c r="E17" t="s">
        <v>62</v>
      </c>
      <c r="F17" t="str">
        <f>"00250303"</f>
        <v>00250303</v>
      </c>
      <c r="G17" t="s">
        <v>63</v>
      </c>
      <c r="H17" t="s">
        <v>20</v>
      </c>
      <c r="I17">
        <v>1576</v>
      </c>
      <c r="J17" t="s">
        <v>21</v>
      </c>
      <c r="K17">
        <v>0</v>
      </c>
      <c r="L17" t="s">
        <v>35</v>
      </c>
      <c r="M17">
        <v>900</v>
      </c>
    </row>
    <row r="18" spans="1:13">
      <c r="A18">
        <v>12</v>
      </c>
      <c r="B18">
        <v>49230</v>
      </c>
      <c r="C18" t="s">
        <v>64</v>
      </c>
      <c r="D18" t="s">
        <v>65</v>
      </c>
      <c r="E18" t="s">
        <v>66</v>
      </c>
      <c r="F18" t="str">
        <f>"00370276"</f>
        <v>00370276</v>
      </c>
      <c r="G18" t="s">
        <v>67</v>
      </c>
      <c r="H18" t="s">
        <v>20</v>
      </c>
      <c r="I18">
        <v>1434</v>
      </c>
      <c r="J18" t="s">
        <v>21</v>
      </c>
      <c r="K18">
        <v>0</v>
      </c>
      <c r="L18" t="s">
        <v>35</v>
      </c>
      <c r="M18">
        <v>958</v>
      </c>
    </row>
    <row r="19" spans="1:13">
      <c r="A19">
        <v>13</v>
      </c>
      <c r="B19">
        <v>108893</v>
      </c>
      <c r="C19" t="s">
        <v>68</v>
      </c>
      <c r="D19" t="s">
        <v>69</v>
      </c>
      <c r="E19">
        <v>531376341</v>
      </c>
      <c r="F19" t="str">
        <f>"00409774"</f>
        <v>00409774</v>
      </c>
      <c r="G19" t="s">
        <v>70</v>
      </c>
      <c r="H19" t="s">
        <v>71</v>
      </c>
      <c r="I19">
        <v>1702</v>
      </c>
      <c r="J19" t="s">
        <v>21</v>
      </c>
      <c r="K19">
        <v>0</v>
      </c>
      <c r="M19">
        <v>1328</v>
      </c>
    </row>
    <row r="20" spans="1:13">
      <c r="A20">
        <v>14</v>
      </c>
      <c r="B20">
        <v>67707</v>
      </c>
      <c r="C20" t="s">
        <v>72</v>
      </c>
      <c r="D20" t="s">
        <v>73</v>
      </c>
      <c r="E20" t="s">
        <v>74</v>
      </c>
      <c r="F20" t="str">
        <f>"00101486"</f>
        <v>00101486</v>
      </c>
      <c r="G20" t="s">
        <v>70</v>
      </c>
      <c r="H20" t="s">
        <v>71</v>
      </c>
      <c r="I20">
        <v>1702</v>
      </c>
      <c r="J20" t="s">
        <v>21</v>
      </c>
      <c r="K20">
        <v>0</v>
      </c>
      <c r="L20" t="s">
        <v>35</v>
      </c>
      <c r="M20">
        <v>900</v>
      </c>
    </row>
    <row r="21" spans="1:13">
      <c r="A21">
        <v>15</v>
      </c>
      <c r="B21">
        <v>68273</v>
      </c>
      <c r="C21" t="s">
        <v>75</v>
      </c>
      <c r="D21" t="s">
        <v>76</v>
      </c>
      <c r="E21" t="s">
        <v>77</v>
      </c>
      <c r="F21" t="str">
        <f>"200901000719"</f>
        <v>200901000719</v>
      </c>
      <c r="G21" t="s">
        <v>78</v>
      </c>
      <c r="H21" t="s">
        <v>20</v>
      </c>
      <c r="I21">
        <v>1460</v>
      </c>
      <c r="J21" t="s">
        <v>21</v>
      </c>
      <c r="K21">
        <v>0</v>
      </c>
      <c r="L21" t="s">
        <v>35</v>
      </c>
      <c r="M21">
        <v>1083</v>
      </c>
    </row>
    <row r="22" spans="1:13">
      <c r="A22">
        <v>16</v>
      </c>
      <c r="B22">
        <v>110686</v>
      </c>
      <c r="C22" t="s">
        <v>79</v>
      </c>
      <c r="D22" t="s">
        <v>80</v>
      </c>
      <c r="E22" t="s">
        <v>81</v>
      </c>
      <c r="F22" t="str">
        <f>"00403530"</f>
        <v>00403530</v>
      </c>
      <c r="G22" t="s">
        <v>82</v>
      </c>
      <c r="H22" t="s">
        <v>20</v>
      </c>
      <c r="I22">
        <v>1475</v>
      </c>
      <c r="J22" t="s">
        <v>21</v>
      </c>
      <c r="K22">
        <v>0</v>
      </c>
      <c r="L22" t="s">
        <v>83</v>
      </c>
      <c r="M22">
        <v>1288</v>
      </c>
    </row>
    <row r="23" spans="1:13">
      <c r="A23">
        <v>17</v>
      </c>
      <c r="B23">
        <v>114455</v>
      </c>
      <c r="C23" t="s">
        <v>84</v>
      </c>
      <c r="D23" t="s">
        <v>85</v>
      </c>
      <c r="E23" t="s">
        <v>86</v>
      </c>
      <c r="F23" t="str">
        <f>"00401475"</f>
        <v>00401475</v>
      </c>
      <c r="G23" t="s">
        <v>87</v>
      </c>
      <c r="H23" t="s">
        <v>20</v>
      </c>
      <c r="I23">
        <v>1436</v>
      </c>
      <c r="J23" t="s">
        <v>21</v>
      </c>
      <c r="K23">
        <v>0</v>
      </c>
      <c r="L23" t="s">
        <v>88</v>
      </c>
      <c r="M23">
        <v>500</v>
      </c>
    </row>
    <row r="24" spans="1:13">
      <c r="A24">
        <v>18</v>
      </c>
      <c r="B24">
        <v>103510</v>
      </c>
      <c r="C24" t="s">
        <v>89</v>
      </c>
      <c r="D24" t="s">
        <v>90</v>
      </c>
      <c r="E24" t="s">
        <v>91</v>
      </c>
      <c r="F24" t="str">
        <f>"00359990"</f>
        <v>00359990</v>
      </c>
      <c r="G24" t="s">
        <v>92</v>
      </c>
      <c r="H24" t="s">
        <v>20</v>
      </c>
      <c r="I24">
        <v>1425</v>
      </c>
      <c r="J24" t="s">
        <v>21</v>
      </c>
      <c r="K24">
        <v>0</v>
      </c>
      <c r="L24" t="s">
        <v>35</v>
      </c>
      <c r="M24">
        <v>1258</v>
      </c>
    </row>
    <row r="25" spans="1:13">
      <c r="A25">
        <v>19</v>
      </c>
      <c r="B25">
        <v>56681</v>
      </c>
      <c r="C25" t="s">
        <v>93</v>
      </c>
      <c r="D25" t="s">
        <v>94</v>
      </c>
      <c r="E25" t="s">
        <v>95</v>
      </c>
      <c r="F25" t="str">
        <f>"200809000241"</f>
        <v>200809000241</v>
      </c>
      <c r="G25" t="s">
        <v>96</v>
      </c>
      <c r="H25" t="s">
        <v>20</v>
      </c>
      <c r="I25">
        <v>1474</v>
      </c>
      <c r="J25" t="s">
        <v>21</v>
      </c>
      <c r="K25">
        <v>0</v>
      </c>
      <c r="M25">
        <v>1778</v>
      </c>
    </row>
    <row r="26" spans="1:13">
      <c r="A26">
        <v>20</v>
      </c>
      <c r="B26">
        <v>113937</v>
      </c>
      <c r="C26" t="s">
        <v>97</v>
      </c>
      <c r="D26" t="s">
        <v>98</v>
      </c>
      <c r="E26" t="s">
        <v>99</v>
      </c>
      <c r="F26" t="str">
        <f>"00419918"</f>
        <v>00419918</v>
      </c>
      <c r="G26" t="s">
        <v>100</v>
      </c>
      <c r="H26" t="s">
        <v>20</v>
      </c>
      <c r="I26">
        <v>1468</v>
      </c>
      <c r="J26" t="s">
        <v>21</v>
      </c>
      <c r="K26">
        <v>0</v>
      </c>
      <c r="L26" t="s">
        <v>83</v>
      </c>
      <c r="M26">
        <v>1428</v>
      </c>
    </row>
    <row r="27" spans="1:13">
      <c r="A27">
        <v>21</v>
      </c>
      <c r="B27">
        <v>83462</v>
      </c>
      <c r="C27" t="s">
        <v>101</v>
      </c>
      <c r="D27" t="s">
        <v>102</v>
      </c>
      <c r="E27" t="s">
        <v>103</v>
      </c>
      <c r="F27" t="str">
        <f>"00388325"</f>
        <v>00388325</v>
      </c>
      <c r="G27" t="s">
        <v>87</v>
      </c>
      <c r="H27" t="s">
        <v>20</v>
      </c>
      <c r="I27">
        <v>1436</v>
      </c>
      <c r="J27" t="s">
        <v>21</v>
      </c>
      <c r="K27">
        <v>0</v>
      </c>
      <c r="M27">
        <v>1368</v>
      </c>
    </row>
    <row r="28" spans="1:13">
      <c r="A28">
        <v>22</v>
      </c>
      <c r="B28">
        <v>91269</v>
      </c>
      <c r="C28" t="s">
        <v>104</v>
      </c>
      <c r="D28" t="s">
        <v>105</v>
      </c>
      <c r="E28" t="s">
        <v>106</v>
      </c>
      <c r="F28" t="str">
        <f>"00399305"</f>
        <v>00399305</v>
      </c>
      <c r="G28" t="s">
        <v>107</v>
      </c>
      <c r="H28" t="s">
        <v>20</v>
      </c>
      <c r="I28">
        <v>1472</v>
      </c>
      <c r="J28" t="s">
        <v>21</v>
      </c>
      <c r="K28">
        <v>0</v>
      </c>
      <c r="L28" t="s">
        <v>35</v>
      </c>
      <c r="M28">
        <v>908</v>
      </c>
    </row>
    <row r="29" spans="1:13">
      <c r="A29">
        <v>23</v>
      </c>
      <c r="B29">
        <v>89330</v>
      </c>
      <c r="C29" t="s">
        <v>108</v>
      </c>
      <c r="D29" t="s">
        <v>109</v>
      </c>
      <c r="E29" t="s">
        <v>110</v>
      </c>
      <c r="F29" t="str">
        <f>"00419677"</f>
        <v>00419677</v>
      </c>
      <c r="G29" t="s">
        <v>111</v>
      </c>
      <c r="H29" t="s">
        <v>48</v>
      </c>
      <c r="I29">
        <v>1620</v>
      </c>
      <c r="J29" t="s">
        <v>21</v>
      </c>
      <c r="K29">
        <v>0</v>
      </c>
      <c r="L29" t="s">
        <v>112</v>
      </c>
      <c r="M29">
        <v>800</v>
      </c>
    </row>
    <row r="30" spans="1:13">
      <c r="A30">
        <v>24</v>
      </c>
      <c r="B30">
        <v>83276</v>
      </c>
      <c r="C30" t="s">
        <v>113</v>
      </c>
      <c r="D30" t="s">
        <v>114</v>
      </c>
      <c r="E30" t="s">
        <v>115</v>
      </c>
      <c r="F30" t="str">
        <f>"00250696"</f>
        <v>00250696</v>
      </c>
      <c r="G30" t="s">
        <v>107</v>
      </c>
      <c r="H30" t="s">
        <v>20</v>
      </c>
      <c r="I30">
        <v>1472</v>
      </c>
      <c r="J30" t="s">
        <v>21</v>
      </c>
      <c r="K30">
        <v>0</v>
      </c>
      <c r="L30" t="s">
        <v>83</v>
      </c>
      <c r="M30">
        <v>1228</v>
      </c>
    </row>
    <row r="31" spans="1:13">
      <c r="A31">
        <v>25</v>
      </c>
      <c r="B31">
        <v>82001</v>
      </c>
      <c r="C31" t="s">
        <v>116</v>
      </c>
      <c r="D31" t="s">
        <v>117</v>
      </c>
      <c r="E31" t="s">
        <v>118</v>
      </c>
      <c r="F31" t="str">
        <f>"00402989"</f>
        <v>00402989</v>
      </c>
      <c r="G31" t="s">
        <v>38</v>
      </c>
      <c r="H31" t="s">
        <v>119</v>
      </c>
      <c r="I31">
        <v>1674</v>
      </c>
      <c r="J31" t="s">
        <v>21</v>
      </c>
      <c r="K31">
        <v>6</v>
      </c>
      <c r="L31" t="s">
        <v>35</v>
      </c>
      <c r="M31">
        <v>804</v>
      </c>
    </row>
    <row r="32" spans="1:13">
      <c r="A32">
        <v>26</v>
      </c>
      <c r="B32">
        <v>96299</v>
      </c>
      <c r="C32" t="s">
        <v>120</v>
      </c>
      <c r="D32" t="s">
        <v>121</v>
      </c>
      <c r="E32" t="s">
        <v>122</v>
      </c>
      <c r="F32" t="str">
        <f>"00360614"</f>
        <v>00360614</v>
      </c>
      <c r="G32" t="s">
        <v>47</v>
      </c>
      <c r="H32" t="s">
        <v>48</v>
      </c>
      <c r="I32">
        <v>1623</v>
      </c>
      <c r="J32" t="s">
        <v>21</v>
      </c>
      <c r="K32">
        <v>0</v>
      </c>
      <c r="M32">
        <v>1388</v>
      </c>
    </row>
    <row r="33" spans="1:13">
      <c r="A33">
        <v>27</v>
      </c>
      <c r="B33">
        <v>108454</v>
      </c>
      <c r="C33" t="s">
        <v>123</v>
      </c>
      <c r="D33" t="s">
        <v>121</v>
      </c>
      <c r="E33" t="s">
        <v>124</v>
      </c>
      <c r="F33" t="str">
        <f>"00270471"</f>
        <v>00270471</v>
      </c>
      <c r="G33" t="s">
        <v>125</v>
      </c>
      <c r="H33" t="s">
        <v>20</v>
      </c>
      <c r="I33">
        <v>1507</v>
      </c>
      <c r="J33" t="s">
        <v>21</v>
      </c>
      <c r="K33">
        <v>0</v>
      </c>
      <c r="M33">
        <v>3188</v>
      </c>
    </row>
    <row r="34" spans="1:13">
      <c r="A34">
        <v>28</v>
      </c>
      <c r="B34">
        <v>74976</v>
      </c>
      <c r="C34" t="s">
        <v>126</v>
      </c>
      <c r="D34" t="s">
        <v>127</v>
      </c>
      <c r="E34" t="s">
        <v>128</v>
      </c>
      <c r="F34" t="str">
        <f>"00281018"</f>
        <v>00281018</v>
      </c>
      <c r="G34" t="s">
        <v>96</v>
      </c>
      <c r="H34" t="s">
        <v>20</v>
      </c>
      <c r="I34">
        <v>1474</v>
      </c>
      <c r="J34" t="s">
        <v>21</v>
      </c>
      <c r="K34">
        <v>0</v>
      </c>
      <c r="L34" t="s">
        <v>35</v>
      </c>
      <c r="M34">
        <v>1236</v>
      </c>
    </row>
    <row r="35" spans="1:13">
      <c r="A35">
        <v>29</v>
      </c>
      <c r="B35">
        <v>68728</v>
      </c>
      <c r="C35" t="s">
        <v>129</v>
      </c>
      <c r="D35" t="s">
        <v>130</v>
      </c>
      <c r="E35" t="s">
        <v>131</v>
      </c>
      <c r="F35" t="str">
        <f>"00333108"</f>
        <v>00333108</v>
      </c>
      <c r="G35" t="s">
        <v>38</v>
      </c>
      <c r="H35" t="s">
        <v>39</v>
      </c>
      <c r="I35">
        <v>1634</v>
      </c>
      <c r="J35" t="s">
        <v>21</v>
      </c>
      <c r="K35">
        <v>6</v>
      </c>
      <c r="M35">
        <v>1428</v>
      </c>
    </row>
    <row r="36" spans="1:13">
      <c r="A36">
        <v>30</v>
      </c>
      <c r="B36">
        <v>74481</v>
      </c>
      <c r="C36" t="s">
        <v>132</v>
      </c>
      <c r="D36" t="s">
        <v>76</v>
      </c>
      <c r="E36" t="s">
        <v>133</v>
      </c>
      <c r="F36" t="str">
        <f>"00363813"</f>
        <v>00363813</v>
      </c>
      <c r="G36" t="s">
        <v>92</v>
      </c>
      <c r="H36" t="s">
        <v>20</v>
      </c>
      <c r="I36">
        <v>1425</v>
      </c>
      <c r="J36" t="s">
        <v>21</v>
      </c>
      <c r="K36">
        <v>0</v>
      </c>
      <c r="L36" t="s">
        <v>35</v>
      </c>
      <c r="M36">
        <v>1175</v>
      </c>
    </row>
    <row r="37" spans="1:13">
      <c r="A37">
        <v>31</v>
      </c>
      <c r="B37">
        <v>51250</v>
      </c>
      <c r="C37" t="s">
        <v>134</v>
      </c>
      <c r="D37" t="s">
        <v>76</v>
      </c>
      <c r="E37" t="s">
        <v>135</v>
      </c>
      <c r="F37" t="str">
        <f>"00348354"</f>
        <v>00348354</v>
      </c>
      <c r="G37" t="s">
        <v>136</v>
      </c>
      <c r="H37" t="s">
        <v>137</v>
      </c>
      <c r="I37">
        <v>1612</v>
      </c>
      <c r="J37" t="s">
        <v>21</v>
      </c>
      <c r="K37">
        <v>0</v>
      </c>
      <c r="M37">
        <v>1559</v>
      </c>
    </row>
    <row r="38" spans="1:13">
      <c r="A38">
        <v>32</v>
      </c>
      <c r="B38">
        <v>101611</v>
      </c>
      <c r="C38" t="s">
        <v>138</v>
      </c>
      <c r="D38" t="s">
        <v>139</v>
      </c>
      <c r="E38" t="s">
        <v>140</v>
      </c>
      <c r="F38" t="str">
        <f>"00036663"</f>
        <v>00036663</v>
      </c>
      <c r="G38" t="s">
        <v>92</v>
      </c>
      <c r="H38" t="s">
        <v>20</v>
      </c>
      <c r="I38">
        <v>1425</v>
      </c>
      <c r="J38" t="s">
        <v>21</v>
      </c>
      <c r="K38">
        <v>0</v>
      </c>
      <c r="M38">
        <v>1763</v>
      </c>
    </row>
    <row r="39" spans="1:13">
      <c r="A39">
        <v>33</v>
      </c>
      <c r="B39">
        <v>95304</v>
      </c>
      <c r="C39" t="s">
        <v>141</v>
      </c>
      <c r="D39" t="s">
        <v>105</v>
      </c>
      <c r="E39" t="s">
        <v>142</v>
      </c>
      <c r="F39" t="str">
        <f>"00404282"</f>
        <v>00404282</v>
      </c>
      <c r="G39" t="s">
        <v>143</v>
      </c>
      <c r="H39" t="s">
        <v>20</v>
      </c>
      <c r="I39">
        <v>1499</v>
      </c>
      <c r="J39" t="s">
        <v>21</v>
      </c>
      <c r="K39">
        <v>0</v>
      </c>
      <c r="M39">
        <v>1488</v>
      </c>
    </row>
    <row r="40" spans="1:13">
      <c r="A40">
        <v>34</v>
      </c>
      <c r="B40">
        <v>71971</v>
      </c>
      <c r="C40" t="s">
        <v>144</v>
      </c>
      <c r="D40" t="s">
        <v>145</v>
      </c>
      <c r="E40" t="s">
        <v>146</v>
      </c>
      <c r="F40" t="str">
        <f>"00400926"</f>
        <v>00400926</v>
      </c>
      <c r="G40" t="s">
        <v>147</v>
      </c>
      <c r="H40" t="s">
        <v>20</v>
      </c>
      <c r="I40">
        <v>1529</v>
      </c>
      <c r="J40" t="s">
        <v>21</v>
      </c>
      <c r="K40">
        <v>0</v>
      </c>
      <c r="L40" t="s">
        <v>35</v>
      </c>
      <c r="M40">
        <v>1258</v>
      </c>
    </row>
    <row r="41" spans="1:13">
      <c r="A41">
        <v>35</v>
      </c>
      <c r="B41">
        <v>88155</v>
      </c>
      <c r="C41" t="s">
        <v>148</v>
      </c>
      <c r="D41" t="s">
        <v>80</v>
      </c>
      <c r="E41" t="s">
        <v>149</v>
      </c>
      <c r="F41" t="str">
        <f>"00046164"</f>
        <v>00046164</v>
      </c>
      <c r="G41" t="s">
        <v>150</v>
      </c>
      <c r="H41" t="s">
        <v>151</v>
      </c>
      <c r="I41">
        <v>1699</v>
      </c>
      <c r="J41" t="s">
        <v>21</v>
      </c>
      <c r="K41">
        <v>0</v>
      </c>
      <c r="M41">
        <v>1488</v>
      </c>
    </row>
    <row r="42" spans="1:13">
      <c r="A42">
        <v>36</v>
      </c>
      <c r="B42">
        <v>97429</v>
      </c>
      <c r="C42" t="s">
        <v>152</v>
      </c>
      <c r="D42" t="s">
        <v>153</v>
      </c>
      <c r="E42" t="s">
        <v>154</v>
      </c>
      <c r="F42" t="str">
        <f>"00344088"</f>
        <v>00344088</v>
      </c>
      <c r="G42" t="s">
        <v>155</v>
      </c>
      <c r="H42" t="s">
        <v>156</v>
      </c>
      <c r="I42">
        <v>1342</v>
      </c>
      <c r="J42" t="s">
        <v>21</v>
      </c>
      <c r="K42">
        <v>0</v>
      </c>
      <c r="L42" t="s">
        <v>35</v>
      </c>
      <c r="M42">
        <v>1133</v>
      </c>
    </row>
    <row r="43" spans="1:13">
      <c r="A43">
        <v>37</v>
      </c>
      <c r="B43">
        <v>60574</v>
      </c>
      <c r="C43" t="s">
        <v>157</v>
      </c>
      <c r="D43" t="s">
        <v>158</v>
      </c>
      <c r="E43" t="s">
        <v>159</v>
      </c>
      <c r="F43" t="str">
        <f>"00268390"</f>
        <v>00268390</v>
      </c>
      <c r="G43" t="s">
        <v>70</v>
      </c>
      <c r="H43" t="s">
        <v>71</v>
      </c>
      <c r="I43">
        <v>1702</v>
      </c>
      <c r="J43" t="s">
        <v>21</v>
      </c>
      <c r="K43">
        <v>0</v>
      </c>
      <c r="M43">
        <v>1318</v>
      </c>
    </row>
    <row r="44" spans="1:13">
      <c r="A44">
        <v>38</v>
      </c>
      <c r="B44">
        <v>89725</v>
      </c>
      <c r="C44" t="s">
        <v>160</v>
      </c>
      <c r="D44" t="s">
        <v>76</v>
      </c>
      <c r="E44" t="s">
        <v>161</v>
      </c>
      <c r="F44" t="str">
        <f>"00387141"</f>
        <v>00387141</v>
      </c>
      <c r="G44" t="s">
        <v>29</v>
      </c>
      <c r="H44" t="s">
        <v>20</v>
      </c>
      <c r="I44">
        <v>1446</v>
      </c>
      <c r="J44" t="s">
        <v>21</v>
      </c>
      <c r="K44">
        <v>0</v>
      </c>
      <c r="M44">
        <v>1418</v>
      </c>
    </row>
    <row r="45" spans="1:13">
      <c r="A45">
        <v>39</v>
      </c>
      <c r="B45">
        <v>107265</v>
      </c>
      <c r="C45" t="s">
        <v>162</v>
      </c>
      <c r="D45" t="s">
        <v>163</v>
      </c>
      <c r="E45" t="s">
        <v>164</v>
      </c>
      <c r="F45" t="str">
        <f>"00410424"</f>
        <v>00410424</v>
      </c>
      <c r="G45" t="s">
        <v>47</v>
      </c>
      <c r="H45" t="s">
        <v>48</v>
      </c>
      <c r="I45">
        <v>1623</v>
      </c>
      <c r="J45" t="s">
        <v>21</v>
      </c>
      <c r="K45">
        <v>0</v>
      </c>
      <c r="M45">
        <v>1488</v>
      </c>
    </row>
    <row r="46" spans="1:13">
      <c r="A46">
        <v>40</v>
      </c>
      <c r="B46">
        <v>98535</v>
      </c>
      <c r="C46" t="s">
        <v>165</v>
      </c>
      <c r="D46" t="s">
        <v>80</v>
      </c>
      <c r="E46" t="s">
        <v>166</v>
      </c>
      <c r="F46" t="str">
        <f>"00357608"</f>
        <v>00357608</v>
      </c>
      <c r="G46" t="s">
        <v>167</v>
      </c>
      <c r="H46" t="s">
        <v>20</v>
      </c>
      <c r="I46">
        <v>1486</v>
      </c>
      <c r="J46" t="s">
        <v>21</v>
      </c>
      <c r="K46">
        <v>0</v>
      </c>
      <c r="M46">
        <v>1728</v>
      </c>
    </row>
    <row r="47" spans="1:13">
      <c r="A47">
        <v>41</v>
      </c>
      <c r="B47">
        <v>78911</v>
      </c>
      <c r="C47" t="s">
        <v>168</v>
      </c>
      <c r="D47" t="s">
        <v>153</v>
      </c>
      <c r="E47" t="s">
        <v>169</v>
      </c>
      <c r="F47" t="str">
        <f>"00386754"</f>
        <v>00386754</v>
      </c>
      <c r="G47" t="s">
        <v>170</v>
      </c>
      <c r="H47" t="s">
        <v>20</v>
      </c>
      <c r="I47">
        <v>1412</v>
      </c>
      <c r="J47" t="s">
        <v>21</v>
      </c>
      <c r="K47">
        <v>0</v>
      </c>
      <c r="M47">
        <v>1393</v>
      </c>
    </row>
    <row r="48" spans="1:13">
      <c r="A48">
        <v>42</v>
      </c>
      <c r="B48">
        <v>81357</v>
      </c>
      <c r="C48" t="s">
        <v>171</v>
      </c>
      <c r="D48" t="s">
        <v>102</v>
      </c>
      <c r="E48" t="s">
        <v>172</v>
      </c>
      <c r="F48" t="str">
        <f>"00410876"</f>
        <v>00410876</v>
      </c>
      <c r="G48" t="s">
        <v>173</v>
      </c>
      <c r="H48" t="s">
        <v>20</v>
      </c>
      <c r="I48">
        <v>1420</v>
      </c>
      <c r="J48" t="s">
        <v>21</v>
      </c>
      <c r="K48">
        <v>7</v>
      </c>
      <c r="M48">
        <v>1298</v>
      </c>
    </row>
    <row r="49" spans="1:13">
      <c r="A49">
        <v>43</v>
      </c>
      <c r="B49">
        <v>52035</v>
      </c>
      <c r="C49" t="s">
        <v>174</v>
      </c>
      <c r="D49" t="s">
        <v>102</v>
      </c>
      <c r="E49" t="s">
        <v>175</v>
      </c>
      <c r="F49" t="str">
        <f>"00364813"</f>
        <v>00364813</v>
      </c>
      <c r="G49" t="s">
        <v>47</v>
      </c>
      <c r="H49" t="s">
        <v>48</v>
      </c>
      <c r="I49">
        <v>1623</v>
      </c>
      <c r="J49" t="s">
        <v>21</v>
      </c>
      <c r="K49">
        <v>0</v>
      </c>
      <c r="M49">
        <v>1328</v>
      </c>
    </row>
    <row r="50" spans="1:13">
      <c r="A50">
        <v>44</v>
      </c>
      <c r="B50">
        <v>114154</v>
      </c>
      <c r="C50" t="s">
        <v>176</v>
      </c>
      <c r="D50" t="s">
        <v>105</v>
      </c>
      <c r="E50" t="s">
        <v>177</v>
      </c>
      <c r="F50" t="str">
        <f>"00394206"</f>
        <v>00394206</v>
      </c>
      <c r="G50" t="s">
        <v>178</v>
      </c>
      <c r="H50" t="s">
        <v>20</v>
      </c>
      <c r="I50">
        <v>1519</v>
      </c>
      <c r="J50" t="s">
        <v>21</v>
      </c>
      <c r="K50">
        <v>0</v>
      </c>
      <c r="L50" t="s">
        <v>35</v>
      </c>
      <c r="M50">
        <v>1308</v>
      </c>
    </row>
    <row r="51" spans="1:13">
      <c r="A51">
        <v>45</v>
      </c>
      <c r="B51">
        <v>97406</v>
      </c>
      <c r="C51" t="s">
        <v>179</v>
      </c>
      <c r="D51" t="s">
        <v>180</v>
      </c>
      <c r="E51" t="s">
        <v>181</v>
      </c>
      <c r="F51" t="str">
        <f>"00401377"</f>
        <v>00401377</v>
      </c>
      <c r="G51" t="s">
        <v>47</v>
      </c>
      <c r="H51" t="s">
        <v>48</v>
      </c>
      <c r="I51">
        <v>1623</v>
      </c>
      <c r="J51" t="s">
        <v>21</v>
      </c>
      <c r="K51">
        <v>0</v>
      </c>
      <c r="M51">
        <v>1398</v>
      </c>
    </row>
    <row r="52" spans="1:13">
      <c r="A52">
        <v>46</v>
      </c>
      <c r="B52">
        <v>65911</v>
      </c>
      <c r="C52" t="s">
        <v>182</v>
      </c>
      <c r="D52" t="s">
        <v>153</v>
      </c>
      <c r="E52" t="s">
        <v>183</v>
      </c>
      <c r="F52" t="str">
        <f>"00310560"</f>
        <v>00310560</v>
      </c>
      <c r="G52" t="s">
        <v>184</v>
      </c>
      <c r="H52" t="s">
        <v>185</v>
      </c>
      <c r="I52">
        <v>1595</v>
      </c>
      <c r="J52" t="s">
        <v>21</v>
      </c>
      <c r="K52">
        <v>0</v>
      </c>
      <c r="M52">
        <v>1528</v>
      </c>
    </row>
    <row r="53" spans="1:13">
      <c r="A53">
        <v>47</v>
      </c>
      <c r="B53">
        <v>92603</v>
      </c>
      <c r="C53" t="s">
        <v>186</v>
      </c>
      <c r="D53" t="s">
        <v>180</v>
      </c>
      <c r="E53" t="s">
        <v>187</v>
      </c>
      <c r="F53" t="str">
        <f>"00387873"</f>
        <v>00387873</v>
      </c>
      <c r="G53" t="s">
        <v>47</v>
      </c>
      <c r="H53" t="s">
        <v>48</v>
      </c>
      <c r="I53">
        <v>1623</v>
      </c>
      <c r="J53" t="s">
        <v>21</v>
      </c>
      <c r="K53">
        <v>0</v>
      </c>
      <c r="L53" t="s">
        <v>35</v>
      </c>
      <c r="M53">
        <v>857</v>
      </c>
    </row>
    <row r="54" spans="1:13">
      <c r="A54">
        <v>48</v>
      </c>
      <c r="B54">
        <v>105050</v>
      </c>
      <c r="C54" t="s">
        <v>188</v>
      </c>
      <c r="D54" t="s">
        <v>145</v>
      </c>
      <c r="E54" t="s">
        <v>189</v>
      </c>
      <c r="F54" t="str">
        <f>"00377830"</f>
        <v>00377830</v>
      </c>
      <c r="G54" t="s">
        <v>190</v>
      </c>
      <c r="H54" t="s">
        <v>191</v>
      </c>
      <c r="I54">
        <v>1618</v>
      </c>
      <c r="J54" t="s">
        <v>21</v>
      </c>
      <c r="K54">
        <v>0</v>
      </c>
      <c r="L54" t="s">
        <v>35</v>
      </c>
      <c r="M54">
        <v>975</v>
      </c>
    </row>
    <row r="55" spans="1:13">
      <c r="A55">
        <v>49</v>
      </c>
      <c r="B55">
        <v>104647</v>
      </c>
      <c r="C55" t="s">
        <v>192</v>
      </c>
      <c r="D55" t="s">
        <v>130</v>
      </c>
      <c r="E55" t="s">
        <v>193</v>
      </c>
      <c r="F55" t="str">
        <f>"00156668"</f>
        <v>00156668</v>
      </c>
      <c r="G55" t="s">
        <v>47</v>
      </c>
      <c r="H55" t="s">
        <v>48</v>
      </c>
      <c r="I55">
        <v>1623</v>
      </c>
      <c r="J55" t="s">
        <v>21</v>
      </c>
      <c r="K55">
        <v>0</v>
      </c>
      <c r="L55" t="s">
        <v>83</v>
      </c>
      <c r="M55">
        <v>1238</v>
      </c>
    </row>
    <row r="56" spans="1:13">
      <c r="A56">
        <v>50</v>
      </c>
      <c r="B56">
        <v>73524</v>
      </c>
      <c r="C56" t="s">
        <v>194</v>
      </c>
      <c r="D56" t="s">
        <v>139</v>
      </c>
      <c r="E56" t="s">
        <v>195</v>
      </c>
      <c r="F56" t="str">
        <f>"00164868"</f>
        <v>00164868</v>
      </c>
      <c r="G56" t="s">
        <v>196</v>
      </c>
      <c r="H56" t="s">
        <v>20</v>
      </c>
      <c r="I56">
        <v>1512</v>
      </c>
      <c r="J56" t="s">
        <v>21</v>
      </c>
      <c r="K56">
        <v>6</v>
      </c>
      <c r="M56">
        <v>1458</v>
      </c>
    </row>
    <row r="57" spans="1:13">
      <c r="A57">
        <v>51</v>
      </c>
      <c r="B57">
        <v>87133</v>
      </c>
      <c r="C57" t="s">
        <v>197</v>
      </c>
      <c r="D57" t="s">
        <v>198</v>
      </c>
      <c r="E57" t="s">
        <v>199</v>
      </c>
      <c r="F57" t="str">
        <f>"00393175"</f>
        <v>00393175</v>
      </c>
      <c r="G57" t="s">
        <v>200</v>
      </c>
      <c r="H57" t="s">
        <v>20</v>
      </c>
      <c r="I57">
        <v>1492</v>
      </c>
      <c r="J57" t="s">
        <v>21</v>
      </c>
      <c r="K57">
        <v>0</v>
      </c>
      <c r="L57" t="s">
        <v>35</v>
      </c>
      <c r="M57">
        <v>1108</v>
      </c>
    </row>
    <row r="58" spans="1:13">
      <c r="A58">
        <v>52</v>
      </c>
      <c r="B58">
        <v>116369</v>
      </c>
      <c r="C58" t="s">
        <v>201</v>
      </c>
      <c r="D58" t="s">
        <v>130</v>
      </c>
      <c r="E58" t="s">
        <v>202</v>
      </c>
      <c r="F58" t="str">
        <f>"00408516"</f>
        <v>00408516</v>
      </c>
      <c r="G58" t="s">
        <v>203</v>
      </c>
      <c r="H58" t="s">
        <v>20</v>
      </c>
      <c r="I58">
        <v>1476</v>
      </c>
      <c r="J58" t="s">
        <v>21</v>
      </c>
      <c r="K58">
        <v>6</v>
      </c>
      <c r="L58" t="s">
        <v>59</v>
      </c>
      <c r="M58">
        <v>442</v>
      </c>
    </row>
    <row r="59" spans="1:13">
      <c r="A59">
        <v>53</v>
      </c>
      <c r="B59">
        <v>106199</v>
      </c>
      <c r="C59" t="s">
        <v>204</v>
      </c>
      <c r="D59" t="s">
        <v>205</v>
      </c>
      <c r="E59" t="s">
        <v>206</v>
      </c>
      <c r="F59" t="str">
        <f>"00400367"</f>
        <v>00400367</v>
      </c>
      <c r="G59" t="s">
        <v>207</v>
      </c>
      <c r="H59" t="s">
        <v>20</v>
      </c>
      <c r="I59">
        <v>1560</v>
      </c>
      <c r="J59" t="s">
        <v>21</v>
      </c>
      <c r="K59">
        <v>6</v>
      </c>
      <c r="M59">
        <v>1404</v>
      </c>
    </row>
    <row r="60" spans="1:13">
      <c r="A60">
        <v>54</v>
      </c>
      <c r="B60">
        <v>63895</v>
      </c>
      <c r="C60" t="s">
        <v>208</v>
      </c>
      <c r="D60" t="s">
        <v>209</v>
      </c>
      <c r="E60" t="s">
        <v>210</v>
      </c>
      <c r="F60" t="str">
        <f>"00253143"</f>
        <v>00253143</v>
      </c>
      <c r="G60" t="s">
        <v>211</v>
      </c>
      <c r="H60" t="s">
        <v>48</v>
      </c>
      <c r="I60">
        <v>1628</v>
      </c>
      <c r="J60" t="s">
        <v>21</v>
      </c>
      <c r="K60">
        <v>0</v>
      </c>
      <c r="L60" t="s">
        <v>83</v>
      </c>
      <c r="M60">
        <v>1228</v>
      </c>
    </row>
    <row r="61" spans="1:13">
      <c r="A61">
        <v>55</v>
      </c>
      <c r="B61">
        <v>81943</v>
      </c>
      <c r="C61" t="s">
        <v>212</v>
      </c>
      <c r="D61" t="s">
        <v>213</v>
      </c>
      <c r="E61" t="s">
        <v>214</v>
      </c>
      <c r="F61" t="str">
        <f>"00394741"</f>
        <v>00394741</v>
      </c>
      <c r="G61" t="s">
        <v>215</v>
      </c>
      <c r="H61" t="s">
        <v>216</v>
      </c>
      <c r="I61">
        <v>1708</v>
      </c>
      <c r="J61" t="s">
        <v>21</v>
      </c>
      <c r="K61">
        <v>6</v>
      </c>
      <c r="L61" t="s">
        <v>59</v>
      </c>
      <c r="M61">
        <v>1158</v>
      </c>
    </row>
    <row r="62" spans="1:13">
      <c r="A62">
        <v>56</v>
      </c>
      <c r="B62">
        <v>68949</v>
      </c>
      <c r="C62" t="s">
        <v>217</v>
      </c>
      <c r="D62" t="s">
        <v>218</v>
      </c>
      <c r="E62" t="s">
        <v>219</v>
      </c>
      <c r="F62" t="str">
        <f>"201409002870"</f>
        <v>201409002870</v>
      </c>
      <c r="G62" t="s">
        <v>42</v>
      </c>
      <c r="H62" t="s">
        <v>43</v>
      </c>
      <c r="I62">
        <v>1712</v>
      </c>
      <c r="J62" t="s">
        <v>21</v>
      </c>
      <c r="K62">
        <v>0</v>
      </c>
      <c r="M62">
        <v>1828</v>
      </c>
    </row>
    <row r="63" spans="1:13">
      <c r="A63">
        <v>57</v>
      </c>
      <c r="B63">
        <v>77408</v>
      </c>
      <c r="C63" t="s">
        <v>220</v>
      </c>
      <c r="D63" t="s">
        <v>121</v>
      </c>
      <c r="E63" t="s">
        <v>221</v>
      </c>
      <c r="F63" t="str">
        <f>"00385133"</f>
        <v>00385133</v>
      </c>
      <c r="G63" t="s">
        <v>24</v>
      </c>
      <c r="H63" t="s">
        <v>20</v>
      </c>
      <c r="I63">
        <v>1577</v>
      </c>
      <c r="J63" t="s">
        <v>21</v>
      </c>
      <c r="K63">
        <v>0</v>
      </c>
      <c r="L63" t="s">
        <v>35</v>
      </c>
      <c r="M63">
        <v>908</v>
      </c>
    </row>
    <row r="64" spans="1:13">
      <c r="A64">
        <v>58</v>
      </c>
      <c r="B64">
        <v>115296</v>
      </c>
      <c r="C64" t="s">
        <v>222</v>
      </c>
      <c r="D64" t="s">
        <v>90</v>
      </c>
      <c r="E64" t="s">
        <v>223</v>
      </c>
      <c r="F64" t="str">
        <f>"00423025"</f>
        <v>00423025</v>
      </c>
      <c r="G64" t="s">
        <v>196</v>
      </c>
      <c r="H64" t="s">
        <v>20</v>
      </c>
      <c r="I64">
        <v>1512</v>
      </c>
      <c r="J64" t="s">
        <v>21</v>
      </c>
      <c r="K64">
        <v>6</v>
      </c>
      <c r="M64">
        <v>1528</v>
      </c>
    </row>
    <row r="65" spans="1:13">
      <c r="A65">
        <v>59</v>
      </c>
      <c r="B65">
        <v>87146</v>
      </c>
      <c r="C65" t="s">
        <v>224</v>
      </c>
      <c r="D65" t="s">
        <v>213</v>
      </c>
      <c r="E65" t="s">
        <v>225</v>
      </c>
      <c r="F65" t="str">
        <f>"00401991"</f>
        <v>00401991</v>
      </c>
      <c r="G65" t="s">
        <v>226</v>
      </c>
      <c r="H65" t="s">
        <v>20</v>
      </c>
      <c r="I65">
        <v>1510</v>
      </c>
      <c r="J65" t="s">
        <v>21</v>
      </c>
      <c r="K65">
        <v>0</v>
      </c>
      <c r="M65">
        <v>1368</v>
      </c>
    </row>
    <row r="66" spans="1:13">
      <c r="A66">
        <v>60</v>
      </c>
      <c r="B66">
        <v>81388</v>
      </c>
      <c r="C66" t="s">
        <v>227</v>
      </c>
      <c r="D66" t="s">
        <v>228</v>
      </c>
      <c r="E66" t="s">
        <v>229</v>
      </c>
      <c r="F66" t="str">
        <f>"00248078"</f>
        <v>00248078</v>
      </c>
      <c r="G66" t="s">
        <v>230</v>
      </c>
      <c r="H66" t="s">
        <v>20</v>
      </c>
      <c r="I66">
        <v>1545</v>
      </c>
      <c r="J66" t="s">
        <v>21</v>
      </c>
      <c r="K66">
        <v>0</v>
      </c>
      <c r="L66" t="s">
        <v>25</v>
      </c>
      <c r="M66">
        <v>1268</v>
      </c>
    </row>
    <row r="67" spans="1:13">
      <c r="A67">
        <v>61</v>
      </c>
      <c r="B67">
        <v>62446</v>
      </c>
      <c r="C67" t="s">
        <v>231</v>
      </c>
      <c r="D67" t="s">
        <v>98</v>
      </c>
      <c r="E67" t="s">
        <v>232</v>
      </c>
      <c r="F67" t="str">
        <f>"00352764"</f>
        <v>00352764</v>
      </c>
      <c r="G67" t="s">
        <v>233</v>
      </c>
      <c r="H67" t="s">
        <v>234</v>
      </c>
      <c r="I67">
        <v>1339</v>
      </c>
      <c r="J67" t="s">
        <v>21</v>
      </c>
      <c r="K67">
        <v>6</v>
      </c>
      <c r="L67" t="s">
        <v>88</v>
      </c>
      <c r="M67">
        <v>75</v>
      </c>
    </row>
    <row r="68" spans="1:13">
      <c r="A68">
        <v>62</v>
      </c>
      <c r="B68">
        <v>97513</v>
      </c>
      <c r="C68" t="s">
        <v>235</v>
      </c>
      <c r="D68" t="s">
        <v>228</v>
      </c>
      <c r="E68" t="s">
        <v>236</v>
      </c>
      <c r="F68" t="str">
        <f>"00304467"</f>
        <v>00304467</v>
      </c>
      <c r="G68" t="s">
        <v>107</v>
      </c>
      <c r="H68" t="s">
        <v>20</v>
      </c>
      <c r="I68">
        <v>1472</v>
      </c>
      <c r="J68" t="s">
        <v>21</v>
      </c>
      <c r="K68">
        <v>0</v>
      </c>
      <c r="M68">
        <v>1368</v>
      </c>
    </row>
    <row r="69" spans="1:13">
      <c r="A69">
        <v>63</v>
      </c>
      <c r="B69">
        <v>81130</v>
      </c>
      <c r="C69" t="s">
        <v>237</v>
      </c>
      <c r="D69" t="s">
        <v>238</v>
      </c>
      <c r="E69" t="s">
        <v>239</v>
      </c>
      <c r="F69" t="str">
        <f>"00405205"</f>
        <v>00405205</v>
      </c>
      <c r="G69" t="s">
        <v>240</v>
      </c>
      <c r="H69" t="s">
        <v>241</v>
      </c>
      <c r="I69">
        <v>1366</v>
      </c>
      <c r="J69" t="s">
        <v>21</v>
      </c>
      <c r="K69">
        <v>6</v>
      </c>
      <c r="M69">
        <v>1294</v>
      </c>
    </row>
    <row r="70" spans="1:13">
      <c r="A70">
        <v>64</v>
      </c>
      <c r="B70">
        <v>68739</v>
      </c>
      <c r="C70" t="s">
        <v>242</v>
      </c>
      <c r="D70" t="s">
        <v>243</v>
      </c>
      <c r="E70" t="s">
        <v>244</v>
      </c>
      <c r="F70" t="str">
        <f>"00382175"</f>
        <v>00382175</v>
      </c>
      <c r="G70" t="s">
        <v>245</v>
      </c>
      <c r="H70" t="s">
        <v>20</v>
      </c>
      <c r="I70">
        <v>1406</v>
      </c>
      <c r="J70" t="s">
        <v>21</v>
      </c>
      <c r="K70">
        <v>0</v>
      </c>
      <c r="L70" t="s">
        <v>35</v>
      </c>
      <c r="M70">
        <v>908</v>
      </c>
    </row>
    <row r="71" spans="1:13">
      <c r="A71">
        <v>65</v>
      </c>
      <c r="B71">
        <v>87377</v>
      </c>
      <c r="C71" t="s">
        <v>246</v>
      </c>
      <c r="D71" t="s">
        <v>105</v>
      </c>
      <c r="E71" t="s">
        <v>247</v>
      </c>
      <c r="F71" t="str">
        <f>"201511008759"</f>
        <v>201511008759</v>
      </c>
      <c r="G71" t="s">
        <v>245</v>
      </c>
      <c r="H71" t="s">
        <v>20</v>
      </c>
      <c r="I71">
        <v>1406</v>
      </c>
      <c r="J71" t="s">
        <v>21</v>
      </c>
      <c r="K71">
        <v>0</v>
      </c>
      <c r="L71" t="s">
        <v>35</v>
      </c>
      <c r="M71">
        <v>908</v>
      </c>
    </row>
    <row r="72" spans="1:13">
      <c r="A72">
        <v>66</v>
      </c>
      <c r="B72">
        <v>52980</v>
      </c>
      <c r="C72" t="s">
        <v>248</v>
      </c>
      <c r="D72" t="s">
        <v>249</v>
      </c>
      <c r="E72" t="s">
        <v>250</v>
      </c>
      <c r="F72" t="str">
        <f>"201409006545"</f>
        <v>201409006545</v>
      </c>
      <c r="G72" t="s">
        <v>251</v>
      </c>
      <c r="H72" t="s">
        <v>252</v>
      </c>
      <c r="I72">
        <v>1301</v>
      </c>
      <c r="J72" t="s">
        <v>21</v>
      </c>
      <c r="K72">
        <v>0</v>
      </c>
      <c r="M72">
        <v>1668</v>
      </c>
    </row>
    <row r="73" spans="1:13">
      <c r="A73">
        <v>67</v>
      </c>
      <c r="B73">
        <v>116985</v>
      </c>
      <c r="C73" t="s">
        <v>253</v>
      </c>
      <c r="D73" t="s">
        <v>80</v>
      </c>
      <c r="E73" t="s">
        <v>254</v>
      </c>
      <c r="F73" t="str">
        <f>"00411554"</f>
        <v>00411554</v>
      </c>
      <c r="G73" t="s">
        <v>255</v>
      </c>
      <c r="H73" t="s">
        <v>20</v>
      </c>
      <c r="I73">
        <v>1513</v>
      </c>
      <c r="J73" t="s">
        <v>21</v>
      </c>
      <c r="K73">
        <v>6</v>
      </c>
      <c r="L73" t="s">
        <v>35</v>
      </c>
      <c r="M73">
        <v>1009</v>
      </c>
    </row>
    <row r="74" spans="1:13">
      <c r="A74">
        <v>68</v>
      </c>
      <c r="B74">
        <v>79922</v>
      </c>
      <c r="C74" t="s">
        <v>256</v>
      </c>
      <c r="D74" t="s">
        <v>180</v>
      </c>
      <c r="E74" t="s">
        <v>257</v>
      </c>
      <c r="F74" t="str">
        <f>"00400330"</f>
        <v>00400330</v>
      </c>
      <c r="G74" t="s">
        <v>258</v>
      </c>
      <c r="H74" t="s">
        <v>20</v>
      </c>
      <c r="I74">
        <v>1484</v>
      </c>
      <c r="J74" t="s">
        <v>21</v>
      </c>
      <c r="K74">
        <v>0</v>
      </c>
      <c r="M74">
        <v>1388</v>
      </c>
    </row>
    <row r="75" spans="1:13">
      <c r="A75">
        <v>69</v>
      </c>
      <c r="B75">
        <v>95460</v>
      </c>
      <c r="C75" t="s">
        <v>259</v>
      </c>
      <c r="D75" t="s">
        <v>260</v>
      </c>
      <c r="E75" t="s">
        <v>261</v>
      </c>
      <c r="F75" t="str">
        <f>"00367515"</f>
        <v>00367515</v>
      </c>
      <c r="G75" t="s">
        <v>215</v>
      </c>
      <c r="H75" t="s">
        <v>216</v>
      </c>
      <c r="I75">
        <v>1708</v>
      </c>
      <c r="J75" t="s">
        <v>21</v>
      </c>
      <c r="K75">
        <v>6</v>
      </c>
      <c r="L75" t="s">
        <v>25</v>
      </c>
      <c r="M75">
        <v>1248</v>
      </c>
    </row>
    <row r="76" spans="1:13">
      <c r="A76">
        <v>70</v>
      </c>
      <c r="B76">
        <v>94215</v>
      </c>
      <c r="C76" t="s">
        <v>262</v>
      </c>
      <c r="D76" t="s">
        <v>76</v>
      </c>
      <c r="E76" t="s">
        <v>263</v>
      </c>
      <c r="F76" t="str">
        <f>"00401042"</f>
        <v>00401042</v>
      </c>
      <c r="G76" t="s">
        <v>47</v>
      </c>
      <c r="H76" t="s">
        <v>48</v>
      </c>
      <c r="I76">
        <v>1623</v>
      </c>
      <c r="J76" t="s">
        <v>21</v>
      </c>
      <c r="K76">
        <v>0</v>
      </c>
      <c r="M76">
        <v>1347</v>
      </c>
    </row>
    <row r="77" spans="1:13">
      <c r="A77">
        <v>71</v>
      </c>
      <c r="B77">
        <v>103373</v>
      </c>
      <c r="C77" t="s">
        <v>264</v>
      </c>
      <c r="D77" t="s">
        <v>243</v>
      </c>
      <c r="E77" t="s">
        <v>265</v>
      </c>
      <c r="F77" t="str">
        <f>"00207024"</f>
        <v>00207024</v>
      </c>
      <c r="G77" t="s">
        <v>215</v>
      </c>
      <c r="H77" t="s">
        <v>216</v>
      </c>
      <c r="I77">
        <v>1708</v>
      </c>
      <c r="J77" t="s">
        <v>21</v>
      </c>
      <c r="K77">
        <v>6</v>
      </c>
      <c r="L77" t="s">
        <v>59</v>
      </c>
      <c r="M77">
        <v>1061</v>
      </c>
    </row>
    <row r="78" spans="1:13">
      <c r="A78">
        <v>72</v>
      </c>
      <c r="B78">
        <v>76759</v>
      </c>
      <c r="C78" t="s">
        <v>266</v>
      </c>
      <c r="D78" t="s">
        <v>267</v>
      </c>
      <c r="E78" t="s">
        <v>268</v>
      </c>
      <c r="F78" t="str">
        <f>"00400715"</f>
        <v>00400715</v>
      </c>
      <c r="G78" t="s">
        <v>269</v>
      </c>
      <c r="H78" t="s">
        <v>270</v>
      </c>
      <c r="I78">
        <v>1587</v>
      </c>
      <c r="J78" t="s">
        <v>21</v>
      </c>
      <c r="K78">
        <v>0</v>
      </c>
      <c r="L78" t="s">
        <v>35</v>
      </c>
      <c r="M78">
        <v>1100</v>
      </c>
    </row>
    <row r="79" spans="1:13">
      <c r="A79">
        <v>73</v>
      </c>
      <c r="B79">
        <v>107814</v>
      </c>
      <c r="C79" t="s">
        <v>271</v>
      </c>
      <c r="D79" t="s">
        <v>209</v>
      </c>
      <c r="E79" t="s">
        <v>272</v>
      </c>
      <c r="F79" t="str">
        <f>"00422252"</f>
        <v>00422252</v>
      </c>
      <c r="G79" t="s">
        <v>273</v>
      </c>
      <c r="H79" t="s">
        <v>274</v>
      </c>
      <c r="I79">
        <v>1395</v>
      </c>
      <c r="J79" t="s">
        <v>21</v>
      </c>
      <c r="K79">
        <v>0</v>
      </c>
      <c r="L79" t="s">
        <v>35</v>
      </c>
      <c r="M79">
        <v>958</v>
      </c>
    </row>
    <row r="80" spans="1:13">
      <c r="A80">
        <v>74</v>
      </c>
      <c r="B80">
        <v>65253</v>
      </c>
      <c r="C80" t="s">
        <v>275</v>
      </c>
      <c r="D80" t="s">
        <v>276</v>
      </c>
      <c r="E80" t="s">
        <v>277</v>
      </c>
      <c r="F80" t="str">
        <f>"201511004543"</f>
        <v>201511004543</v>
      </c>
      <c r="G80" t="s">
        <v>278</v>
      </c>
      <c r="H80" t="s">
        <v>137</v>
      </c>
      <c r="I80">
        <v>1605</v>
      </c>
      <c r="J80" t="s">
        <v>21</v>
      </c>
      <c r="K80">
        <v>0</v>
      </c>
      <c r="L80" t="s">
        <v>83</v>
      </c>
      <c r="M80">
        <v>1398</v>
      </c>
    </row>
    <row r="81" spans="1:13">
      <c r="A81">
        <v>75</v>
      </c>
      <c r="B81">
        <v>105570</v>
      </c>
      <c r="C81" t="s">
        <v>279</v>
      </c>
      <c r="D81" t="s">
        <v>280</v>
      </c>
      <c r="E81" t="s">
        <v>281</v>
      </c>
      <c r="F81" t="str">
        <f>"201511012747"</f>
        <v>201511012747</v>
      </c>
      <c r="G81" t="s">
        <v>125</v>
      </c>
      <c r="H81" t="s">
        <v>20</v>
      </c>
      <c r="I81">
        <v>1507</v>
      </c>
      <c r="J81" t="s">
        <v>21</v>
      </c>
      <c r="K81">
        <v>0</v>
      </c>
      <c r="M81">
        <v>1408</v>
      </c>
    </row>
    <row r="82" spans="1:13">
      <c r="A82">
        <v>76</v>
      </c>
      <c r="B82">
        <v>85454</v>
      </c>
      <c r="C82" t="s">
        <v>282</v>
      </c>
      <c r="D82" t="s">
        <v>180</v>
      </c>
      <c r="E82" t="s">
        <v>283</v>
      </c>
      <c r="F82" t="str">
        <f>"201406010400"</f>
        <v>201406010400</v>
      </c>
      <c r="G82" t="s">
        <v>284</v>
      </c>
      <c r="H82" t="s">
        <v>270</v>
      </c>
      <c r="I82">
        <v>1586</v>
      </c>
      <c r="J82" t="s">
        <v>21</v>
      </c>
      <c r="K82">
        <v>0</v>
      </c>
      <c r="L82" t="s">
        <v>59</v>
      </c>
      <c r="M82">
        <v>888</v>
      </c>
    </row>
    <row r="83" spans="1:13">
      <c r="A83">
        <v>77</v>
      </c>
      <c r="B83">
        <v>85445</v>
      </c>
      <c r="C83" t="s">
        <v>285</v>
      </c>
      <c r="D83" t="s">
        <v>102</v>
      </c>
      <c r="E83" t="s">
        <v>286</v>
      </c>
      <c r="F83" t="str">
        <f>"00029293"</f>
        <v>00029293</v>
      </c>
      <c r="G83" t="s">
        <v>178</v>
      </c>
      <c r="H83" t="s">
        <v>20</v>
      </c>
      <c r="I83">
        <v>1519</v>
      </c>
      <c r="J83" t="s">
        <v>21</v>
      </c>
      <c r="K83">
        <v>0</v>
      </c>
      <c r="M83">
        <v>1413</v>
      </c>
    </row>
    <row r="84" spans="1:13">
      <c r="A84">
        <v>78</v>
      </c>
      <c r="B84">
        <v>62300</v>
      </c>
      <c r="C84" t="s">
        <v>287</v>
      </c>
      <c r="D84" t="s">
        <v>288</v>
      </c>
      <c r="E84" t="s">
        <v>289</v>
      </c>
      <c r="F84" t="str">
        <f>"201511016340"</f>
        <v>201511016340</v>
      </c>
      <c r="G84" t="s">
        <v>170</v>
      </c>
      <c r="H84" t="s">
        <v>20</v>
      </c>
      <c r="I84">
        <v>1412</v>
      </c>
      <c r="J84" t="s">
        <v>21</v>
      </c>
      <c r="K84">
        <v>0</v>
      </c>
      <c r="L84" t="s">
        <v>35</v>
      </c>
      <c r="M84">
        <v>900</v>
      </c>
    </row>
    <row r="85" spans="1:13">
      <c r="A85">
        <v>79</v>
      </c>
      <c r="B85">
        <v>78775</v>
      </c>
      <c r="C85" t="s">
        <v>290</v>
      </c>
      <c r="D85" t="s">
        <v>288</v>
      </c>
      <c r="E85" t="s">
        <v>291</v>
      </c>
      <c r="F85" t="str">
        <f>"00278636"</f>
        <v>00278636</v>
      </c>
      <c r="G85" t="s">
        <v>170</v>
      </c>
      <c r="H85" t="s">
        <v>20</v>
      </c>
      <c r="I85">
        <v>1412</v>
      </c>
      <c r="J85" t="s">
        <v>21</v>
      </c>
      <c r="K85">
        <v>0</v>
      </c>
      <c r="L85" t="s">
        <v>35</v>
      </c>
      <c r="M85">
        <v>900</v>
      </c>
    </row>
    <row r="86" spans="1:13">
      <c r="A86">
        <v>80</v>
      </c>
      <c r="B86">
        <v>75430</v>
      </c>
      <c r="C86" t="s">
        <v>292</v>
      </c>
      <c r="D86" t="s">
        <v>117</v>
      </c>
      <c r="E86" t="s">
        <v>293</v>
      </c>
      <c r="F86" t="str">
        <f>"00347783"</f>
        <v>00347783</v>
      </c>
      <c r="G86" t="s">
        <v>294</v>
      </c>
      <c r="H86" t="s">
        <v>20</v>
      </c>
      <c r="I86">
        <v>1421</v>
      </c>
      <c r="J86" t="s">
        <v>21</v>
      </c>
      <c r="K86">
        <v>0</v>
      </c>
      <c r="L86" t="s">
        <v>35</v>
      </c>
      <c r="M86">
        <v>1108</v>
      </c>
    </row>
    <row r="87" spans="1:13">
      <c r="A87">
        <v>81</v>
      </c>
      <c r="B87">
        <v>65581</v>
      </c>
      <c r="C87" t="s">
        <v>295</v>
      </c>
      <c r="D87" t="s">
        <v>153</v>
      </c>
      <c r="E87" t="s">
        <v>296</v>
      </c>
      <c r="F87" t="str">
        <f>"00356831"</f>
        <v>00356831</v>
      </c>
      <c r="G87" t="s">
        <v>211</v>
      </c>
      <c r="H87" t="s">
        <v>48</v>
      </c>
      <c r="I87">
        <v>1628</v>
      </c>
      <c r="J87" t="s">
        <v>21</v>
      </c>
      <c r="K87">
        <v>0</v>
      </c>
      <c r="M87">
        <v>1388</v>
      </c>
    </row>
    <row r="88" spans="1:13">
      <c r="A88">
        <v>82</v>
      </c>
      <c r="B88">
        <v>48082</v>
      </c>
      <c r="C88" t="s">
        <v>297</v>
      </c>
      <c r="D88" t="s">
        <v>105</v>
      </c>
      <c r="E88" t="s">
        <v>298</v>
      </c>
      <c r="F88" t="str">
        <f>"00258212"</f>
        <v>00258212</v>
      </c>
      <c r="G88" t="s">
        <v>299</v>
      </c>
      <c r="H88" t="s">
        <v>20</v>
      </c>
      <c r="I88">
        <v>1490</v>
      </c>
      <c r="J88" t="s">
        <v>21</v>
      </c>
      <c r="K88">
        <v>0</v>
      </c>
      <c r="L88" t="s">
        <v>35</v>
      </c>
      <c r="M88">
        <v>908</v>
      </c>
    </row>
    <row r="89" spans="1:13">
      <c r="A89">
        <v>83</v>
      </c>
      <c r="B89">
        <v>102251</v>
      </c>
      <c r="C89" t="s">
        <v>300</v>
      </c>
      <c r="D89" t="s">
        <v>205</v>
      </c>
      <c r="E89" t="s">
        <v>301</v>
      </c>
      <c r="F89" t="str">
        <f>"00195664"</f>
        <v>00195664</v>
      </c>
      <c r="G89" t="s">
        <v>302</v>
      </c>
      <c r="H89" t="s">
        <v>20</v>
      </c>
      <c r="I89">
        <v>1494</v>
      </c>
      <c r="J89" t="s">
        <v>21</v>
      </c>
      <c r="K89">
        <v>0</v>
      </c>
      <c r="M89">
        <v>1488</v>
      </c>
    </row>
    <row r="90" spans="1:13">
      <c r="A90">
        <v>84</v>
      </c>
      <c r="B90">
        <v>67948</v>
      </c>
      <c r="C90" t="s">
        <v>303</v>
      </c>
      <c r="D90" t="s">
        <v>180</v>
      </c>
      <c r="E90" t="s">
        <v>304</v>
      </c>
      <c r="F90" t="str">
        <f>"00381968"</f>
        <v>00381968</v>
      </c>
      <c r="G90" t="s">
        <v>47</v>
      </c>
      <c r="H90" t="s">
        <v>48</v>
      </c>
      <c r="I90">
        <v>1623</v>
      </c>
      <c r="J90" t="s">
        <v>21</v>
      </c>
      <c r="K90">
        <v>0</v>
      </c>
      <c r="L90" t="s">
        <v>112</v>
      </c>
      <c r="M90">
        <v>800</v>
      </c>
    </row>
    <row r="91" spans="1:13">
      <c r="A91">
        <v>85</v>
      </c>
      <c r="B91">
        <v>110301</v>
      </c>
      <c r="C91" t="s">
        <v>305</v>
      </c>
      <c r="D91" t="s">
        <v>105</v>
      </c>
      <c r="E91" t="s">
        <v>306</v>
      </c>
      <c r="F91" t="str">
        <f>"00411240"</f>
        <v>00411240</v>
      </c>
      <c r="G91" t="s">
        <v>307</v>
      </c>
      <c r="H91" t="s">
        <v>308</v>
      </c>
      <c r="I91">
        <v>1589</v>
      </c>
      <c r="J91" t="s">
        <v>21</v>
      </c>
      <c r="K91">
        <v>0</v>
      </c>
      <c r="L91" t="s">
        <v>83</v>
      </c>
      <c r="M91">
        <v>1208</v>
      </c>
    </row>
    <row r="92" spans="1:13">
      <c r="A92">
        <v>86</v>
      </c>
      <c r="B92">
        <v>110053</v>
      </c>
      <c r="C92" t="s">
        <v>309</v>
      </c>
      <c r="D92" t="s">
        <v>218</v>
      </c>
      <c r="E92" t="s">
        <v>310</v>
      </c>
      <c r="F92" t="str">
        <f>"00293356"</f>
        <v>00293356</v>
      </c>
      <c r="G92" t="s">
        <v>147</v>
      </c>
      <c r="H92" t="s">
        <v>20</v>
      </c>
      <c r="I92">
        <v>1529</v>
      </c>
      <c r="J92" t="s">
        <v>21</v>
      </c>
      <c r="K92">
        <v>0</v>
      </c>
      <c r="M92">
        <v>1488</v>
      </c>
    </row>
    <row r="93" spans="1:13">
      <c r="A93">
        <v>87</v>
      </c>
      <c r="B93">
        <v>80590</v>
      </c>
      <c r="C93" t="s">
        <v>311</v>
      </c>
      <c r="D93" t="s">
        <v>102</v>
      </c>
      <c r="E93" t="s">
        <v>312</v>
      </c>
      <c r="F93" t="str">
        <f>"00250580"</f>
        <v>00250580</v>
      </c>
      <c r="G93" t="s">
        <v>107</v>
      </c>
      <c r="H93" t="s">
        <v>20</v>
      </c>
      <c r="I93">
        <v>1472</v>
      </c>
      <c r="J93" t="s">
        <v>21</v>
      </c>
      <c r="K93">
        <v>0</v>
      </c>
      <c r="M93">
        <v>1388</v>
      </c>
    </row>
    <row r="94" spans="1:13">
      <c r="A94">
        <v>88</v>
      </c>
      <c r="B94">
        <v>58135</v>
      </c>
      <c r="C94" t="s">
        <v>313</v>
      </c>
      <c r="D94" t="s">
        <v>145</v>
      </c>
      <c r="E94" t="s">
        <v>314</v>
      </c>
      <c r="F94" t="str">
        <f>"00380496"</f>
        <v>00380496</v>
      </c>
      <c r="G94" t="s">
        <v>196</v>
      </c>
      <c r="H94" t="s">
        <v>20</v>
      </c>
      <c r="I94">
        <v>1512</v>
      </c>
      <c r="J94" t="s">
        <v>21</v>
      </c>
      <c r="K94">
        <v>6</v>
      </c>
      <c r="L94" t="s">
        <v>35</v>
      </c>
      <c r="M94">
        <v>956</v>
      </c>
    </row>
    <row r="95" spans="1:13">
      <c r="A95">
        <v>89</v>
      </c>
      <c r="B95">
        <v>95827</v>
      </c>
      <c r="C95" t="s">
        <v>315</v>
      </c>
      <c r="D95" t="s">
        <v>316</v>
      </c>
      <c r="E95" t="s">
        <v>317</v>
      </c>
      <c r="F95" t="str">
        <f>"00375535"</f>
        <v>00375535</v>
      </c>
      <c r="G95" t="s">
        <v>211</v>
      </c>
      <c r="H95" t="s">
        <v>48</v>
      </c>
      <c r="I95">
        <v>1628</v>
      </c>
      <c r="J95" t="s">
        <v>21</v>
      </c>
      <c r="K95">
        <v>0</v>
      </c>
      <c r="M95">
        <v>1318</v>
      </c>
    </row>
    <row r="96" spans="1:13">
      <c r="A96">
        <v>90</v>
      </c>
      <c r="B96">
        <v>98584</v>
      </c>
      <c r="C96" t="s">
        <v>318</v>
      </c>
      <c r="D96" t="s">
        <v>260</v>
      </c>
      <c r="E96" t="s">
        <v>319</v>
      </c>
      <c r="F96" t="str">
        <f>"00281101"</f>
        <v>00281101</v>
      </c>
      <c r="G96" t="s">
        <v>240</v>
      </c>
      <c r="H96" t="s">
        <v>20</v>
      </c>
      <c r="I96">
        <v>1535</v>
      </c>
      <c r="J96" t="s">
        <v>21</v>
      </c>
      <c r="K96">
        <v>6</v>
      </c>
      <c r="L96" t="s">
        <v>35</v>
      </c>
      <c r="M96">
        <v>900</v>
      </c>
    </row>
    <row r="97" spans="1:13">
      <c r="A97">
        <v>91</v>
      </c>
      <c r="B97">
        <v>107594</v>
      </c>
      <c r="C97" t="s">
        <v>320</v>
      </c>
      <c r="D97" t="s">
        <v>321</v>
      </c>
      <c r="E97" t="s">
        <v>322</v>
      </c>
      <c r="F97" t="str">
        <f>"00417686"</f>
        <v>00417686</v>
      </c>
      <c r="G97" t="s">
        <v>284</v>
      </c>
      <c r="H97" t="s">
        <v>270</v>
      </c>
      <c r="I97">
        <v>1586</v>
      </c>
      <c r="J97" t="s">
        <v>21</v>
      </c>
      <c r="K97">
        <v>0</v>
      </c>
      <c r="M97">
        <v>1428</v>
      </c>
    </row>
    <row r="98" spans="1:13">
      <c r="A98">
        <v>92</v>
      </c>
      <c r="B98">
        <v>74222</v>
      </c>
      <c r="C98" t="s">
        <v>323</v>
      </c>
      <c r="D98" t="s">
        <v>80</v>
      </c>
      <c r="E98" t="s">
        <v>324</v>
      </c>
      <c r="F98" t="str">
        <f>"00370655"</f>
        <v>00370655</v>
      </c>
      <c r="G98" t="s">
        <v>325</v>
      </c>
      <c r="H98" t="s">
        <v>326</v>
      </c>
      <c r="I98">
        <v>1592</v>
      </c>
      <c r="J98" t="s">
        <v>21</v>
      </c>
      <c r="K98">
        <v>0</v>
      </c>
      <c r="M98">
        <v>1748</v>
      </c>
    </row>
    <row r="99" spans="1:13">
      <c r="A99">
        <v>93</v>
      </c>
      <c r="B99">
        <v>97894</v>
      </c>
      <c r="C99" t="s">
        <v>327</v>
      </c>
      <c r="D99" t="s">
        <v>121</v>
      </c>
      <c r="E99" t="s">
        <v>328</v>
      </c>
      <c r="F99" t="str">
        <f>"00407832"</f>
        <v>00407832</v>
      </c>
      <c r="G99" t="s">
        <v>329</v>
      </c>
      <c r="H99" t="s">
        <v>20</v>
      </c>
      <c r="I99">
        <v>1509</v>
      </c>
      <c r="J99" t="s">
        <v>21</v>
      </c>
      <c r="K99">
        <v>0</v>
      </c>
      <c r="L99" t="s">
        <v>35</v>
      </c>
      <c r="M99">
        <v>1034</v>
      </c>
    </row>
    <row r="100" spans="1:13">
      <c r="A100">
        <v>94</v>
      </c>
      <c r="B100">
        <v>90362</v>
      </c>
      <c r="C100" t="s">
        <v>330</v>
      </c>
      <c r="D100" t="s">
        <v>102</v>
      </c>
      <c r="E100" t="s">
        <v>331</v>
      </c>
      <c r="F100" t="str">
        <f>"00398556"</f>
        <v>00398556</v>
      </c>
      <c r="G100" t="s">
        <v>332</v>
      </c>
      <c r="H100" t="s">
        <v>270</v>
      </c>
      <c r="I100">
        <v>1631</v>
      </c>
      <c r="J100" t="s">
        <v>21</v>
      </c>
      <c r="K100">
        <v>6</v>
      </c>
      <c r="M100">
        <v>1374</v>
      </c>
    </row>
    <row r="101" spans="1:13">
      <c r="A101">
        <v>95</v>
      </c>
      <c r="B101">
        <v>115526</v>
      </c>
      <c r="C101" t="s">
        <v>333</v>
      </c>
      <c r="D101" t="s">
        <v>334</v>
      </c>
      <c r="E101" t="s">
        <v>335</v>
      </c>
      <c r="F101" t="str">
        <f>"00420424"</f>
        <v>00420424</v>
      </c>
      <c r="G101" t="s">
        <v>47</v>
      </c>
      <c r="H101" t="s">
        <v>48</v>
      </c>
      <c r="I101">
        <v>1623</v>
      </c>
      <c r="J101" t="s">
        <v>21</v>
      </c>
      <c r="K101">
        <v>0</v>
      </c>
      <c r="L101" t="s">
        <v>35</v>
      </c>
      <c r="M101">
        <v>908</v>
      </c>
    </row>
    <row r="102" spans="1:13">
      <c r="A102">
        <v>96</v>
      </c>
      <c r="B102">
        <v>81625</v>
      </c>
      <c r="C102" t="s">
        <v>336</v>
      </c>
      <c r="D102" t="s">
        <v>76</v>
      </c>
      <c r="E102" t="s">
        <v>337</v>
      </c>
      <c r="F102" t="str">
        <f>"00416191"</f>
        <v>00416191</v>
      </c>
      <c r="G102" t="s">
        <v>338</v>
      </c>
      <c r="H102" t="s">
        <v>20</v>
      </c>
      <c r="I102">
        <v>1426</v>
      </c>
      <c r="J102" t="s">
        <v>21</v>
      </c>
      <c r="K102">
        <v>0</v>
      </c>
      <c r="L102" t="s">
        <v>35</v>
      </c>
      <c r="M102">
        <v>1075</v>
      </c>
    </row>
    <row r="103" spans="1:13">
      <c r="A103">
        <v>97</v>
      </c>
      <c r="B103">
        <v>108428</v>
      </c>
      <c r="C103" t="s">
        <v>339</v>
      </c>
      <c r="D103" t="s">
        <v>76</v>
      </c>
      <c r="E103" t="s">
        <v>340</v>
      </c>
      <c r="F103" t="str">
        <f>"201410003177"</f>
        <v>201410003177</v>
      </c>
      <c r="G103" t="s">
        <v>341</v>
      </c>
      <c r="H103" t="s">
        <v>20</v>
      </c>
      <c r="I103">
        <v>1553</v>
      </c>
      <c r="J103" t="s">
        <v>21</v>
      </c>
      <c r="K103">
        <v>6</v>
      </c>
      <c r="L103" t="s">
        <v>35</v>
      </c>
      <c r="M103">
        <v>808</v>
      </c>
    </row>
    <row r="104" spans="1:13">
      <c r="A104">
        <v>98</v>
      </c>
      <c r="B104">
        <v>93963</v>
      </c>
      <c r="C104" t="s">
        <v>342</v>
      </c>
      <c r="D104" t="s">
        <v>121</v>
      </c>
      <c r="E104" t="s">
        <v>343</v>
      </c>
      <c r="F104" t="str">
        <f>"00095270"</f>
        <v>00095270</v>
      </c>
      <c r="G104" t="s">
        <v>344</v>
      </c>
      <c r="H104" t="s">
        <v>137</v>
      </c>
      <c r="I104">
        <v>1614</v>
      </c>
      <c r="J104" t="s">
        <v>21</v>
      </c>
      <c r="K104">
        <v>0</v>
      </c>
      <c r="L104" t="s">
        <v>83</v>
      </c>
      <c r="M104">
        <v>1168</v>
      </c>
    </row>
    <row r="105" spans="1:13">
      <c r="A105">
        <v>99</v>
      </c>
      <c r="B105">
        <v>112287</v>
      </c>
      <c r="C105" t="s">
        <v>345</v>
      </c>
      <c r="D105" t="s">
        <v>213</v>
      </c>
      <c r="E105" t="s">
        <v>346</v>
      </c>
      <c r="F105" t="str">
        <f>"201508000123"</f>
        <v>201508000123</v>
      </c>
      <c r="G105" t="s">
        <v>150</v>
      </c>
      <c r="H105" t="s">
        <v>151</v>
      </c>
      <c r="I105">
        <v>1699</v>
      </c>
      <c r="J105" t="s">
        <v>21</v>
      </c>
      <c r="K105">
        <v>0</v>
      </c>
      <c r="L105" t="s">
        <v>35</v>
      </c>
      <c r="M105">
        <v>858</v>
      </c>
    </row>
    <row r="106" spans="1:13">
      <c r="A106">
        <v>100</v>
      </c>
      <c r="B106">
        <v>46216</v>
      </c>
      <c r="C106" t="s">
        <v>347</v>
      </c>
      <c r="D106" t="s">
        <v>334</v>
      </c>
      <c r="E106" t="s">
        <v>348</v>
      </c>
      <c r="F106" t="str">
        <f>"00299729"</f>
        <v>00299729</v>
      </c>
      <c r="G106" t="s">
        <v>349</v>
      </c>
      <c r="H106" t="s">
        <v>20</v>
      </c>
      <c r="I106">
        <v>1419</v>
      </c>
      <c r="J106" t="s">
        <v>21</v>
      </c>
      <c r="K106">
        <v>0</v>
      </c>
      <c r="M106">
        <v>1496</v>
      </c>
    </row>
    <row r="107" spans="1:13">
      <c r="A107">
        <v>101</v>
      </c>
      <c r="B107">
        <v>84504</v>
      </c>
      <c r="C107" t="s">
        <v>350</v>
      </c>
      <c r="D107" t="s">
        <v>243</v>
      </c>
      <c r="E107" t="s">
        <v>351</v>
      </c>
      <c r="F107" t="str">
        <f>"00028350"</f>
        <v>00028350</v>
      </c>
      <c r="G107" t="s">
        <v>352</v>
      </c>
      <c r="H107" t="s">
        <v>20</v>
      </c>
      <c r="I107">
        <v>1471</v>
      </c>
      <c r="J107" t="s">
        <v>21</v>
      </c>
      <c r="K107">
        <v>0</v>
      </c>
      <c r="L107" t="s">
        <v>35</v>
      </c>
      <c r="M107">
        <v>985</v>
      </c>
    </row>
    <row r="108" spans="1:13">
      <c r="A108">
        <v>102</v>
      </c>
      <c r="B108">
        <v>74100</v>
      </c>
      <c r="C108" t="s">
        <v>353</v>
      </c>
      <c r="D108" t="s">
        <v>76</v>
      </c>
      <c r="E108" t="s">
        <v>354</v>
      </c>
      <c r="F108" t="str">
        <f>"00399434"</f>
        <v>00399434</v>
      </c>
      <c r="G108" t="s">
        <v>38</v>
      </c>
      <c r="H108" t="s">
        <v>39</v>
      </c>
      <c r="I108">
        <v>1634</v>
      </c>
      <c r="J108" t="s">
        <v>21</v>
      </c>
      <c r="K108">
        <v>6</v>
      </c>
      <c r="L108" t="s">
        <v>83</v>
      </c>
      <c r="M108">
        <v>1063</v>
      </c>
    </row>
    <row r="109" spans="1:13">
      <c r="A109">
        <v>103</v>
      </c>
      <c r="B109">
        <v>63460</v>
      </c>
      <c r="C109" t="s">
        <v>355</v>
      </c>
      <c r="D109" t="s">
        <v>356</v>
      </c>
      <c r="E109" t="s">
        <v>357</v>
      </c>
      <c r="F109" t="str">
        <f>"00023222"</f>
        <v>00023222</v>
      </c>
      <c r="G109" t="s">
        <v>358</v>
      </c>
      <c r="H109" t="s">
        <v>20</v>
      </c>
      <c r="I109">
        <v>1549</v>
      </c>
      <c r="J109" t="s">
        <v>21</v>
      </c>
      <c r="K109">
        <v>0</v>
      </c>
      <c r="L109" t="s">
        <v>35</v>
      </c>
      <c r="M109">
        <v>1183</v>
      </c>
    </row>
    <row r="110" spans="1:13">
      <c r="A110">
        <v>104</v>
      </c>
      <c r="B110">
        <v>55794</v>
      </c>
      <c r="C110" t="s">
        <v>359</v>
      </c>
      <c r="D110" t="s">
        <v>356</v>
      </c>
      <c r="E110" t="s">
        <v>360</v>
      </c>
      <c r="F110" t="str">
        <f>"00246893"</f>
        <v>00246893</v>
      </c>
      <c r="G110" t="s">
        <v>358</v>
      </c>
      <c r="H110" t="s">
        <v>20</v>
      </c>
      <c r="I110">
        <v>1549</v>
      </c>
      <c r="J110" t="s">
        <v>21</v>
      </c>
      <c r="K110">
        <v>0</v>
      </c>
      <c r="M110">
        <v>1584</v>
      </c>
    </row>
    <row r="111" spans="1:13">
      <c r="A111">
        <v>105</v>
      </c>
      <c r="B111">
        <v>100648</v>
      </c>
      <c r="C111" t="s">
        <v>361</v>
      </c>
      <c r="D111" t="s">
        <v>109</v>
      </c>
      <c r="E111" t="s">
        <v>362</v>
      </c>
      <c r="F111" t="str">
        <f>"00249349"</f>
        <v>00249349</v>
      </c>
      <c r="G111" t="s">
        <v>107</v>
      </c>
      <c r="H111" t="s">
        <v>20</v>
      </c>
      <c r="I111">
        <v>1472</v>
      </c>
      <c r="J111" t="s">
        <v>21</v>
      </c>
      <c r="K111">
        <v>0</v>
      </c>
      <c r="L111" t="s">
        <v>35</v>
      </c>
      <c r="M111">
        <v>908</v>
      </c>
    </row>
    <row r="112" spans="1:13">
      <c r="A112">
        <v>106</v>
      </c>
      <c r="B112">
        <v>48234</v>
      </c>
      <c r="C112" t="s">
        <v>363</v>
      </c>
      <c r="D112" t="s">
        <v>80</v>
      </c>
      <c r="E112" t="s">
        <v>364</v>
      </c>
      <c r="F112" t="str">
        <f>"00281436"</f>
        <v>00281436</v>
      </c>
      <c r="G112" t="s">
        <v>365</v>
      </c>
      <c r="H112" t="s">
        <v>366</v>
      </c>
      <c r="I112">
        <v>1692</v>
      </c>
      <c r="J112" t="s">
        <v>21</v>
      </c>
      <c r="K112">
        <v>0</v>
      </c>
      <c r="L112" t="s">
        <v>35</v>
      </c>
      <c r="M112">
        <v>985</v>
      </c>
    </row>
    <row r="113" spans="1:13">
      <c r="A113">
        <v>107</v>
      </c>
      <c r="B113">
        <v>64970</v>
      </c>
      <c r="C113" t="s">
        <v>367</v>
      </c>
      <c r="D113" t="s">
        <v>243</v>
      </c>
      <c r="E113" t="s">
        <v>368</v>
      </c>
      <c r="F113" t="str">
        <f>"00262519"</f>
        <v>00262519</v>
      </c>
      <c r="G113" t="s">
        <v>24</v>
      </c>
      <c r="H113" t="s">
        <v>20</v>
      </c>
      <c r="I113">
        <v>1577</v>
      </c>
      <c r="J113" t="s">
        <v>21</v>
      </c>
      <c r="K113">
        <v>0</v>
      </c>
      <c r="M113">
        <v>1418</v>
      </c>
    </row>
    <row r="114" spans="1:13">
      <c r="A114">
        <v>108</v>
      </c>
      <c r="B114">
        <v>87359</v>
      </c>
      <c r="C114" t="s">
        <v>369</v>
      </c>
      <c r="D114" t="s">
        <v>121</v>
      </c>
      <c r="E114" t="s">
        <v>370</v>
      </c>
      <c r="F114" t="str">
        <f>"00367733"</f>
        <v>00367733</v>
      </c>
      <c r="G114" t="s">
        <v>371</v>
      </c>
      <c r="H114" t="s">
        <v>20</v>
      </c>
      <c r="I114">
        <v>1526</v>
      </c>
      <c r="J114" t="s">
        <v>21</v>
      </c>
      <c r="K114">
        <v>6</v>
      </c>
      <c r="L114" t="s">
        <v>35</v>
      </c>
      <c r="M114">
        <v>408</v>
      </c>
    </row>
    <row r="115" spans="1:13">
      <c r="A115">
        <v>109</v>
      </c>
      <c r="B115">
        <v>115022</v>
      </c>
      <c r="C115" t="s">
        <v>372</v>
      </c>
      <c r="D115" t="s">
        <v>373</v>
      </c>
      <c r="E115" t="s">
        <v>374</v>
      </c>
      <c r="F115" t="str">
        <f>"00250851"</f>
        <v>00250851</v>
      </c>
      <c r="G115" t="s">
        <v>375</v>
      </c>
      <c r="H115" t="s">
        <v>20</v>
      </c>
      <c r="I115">
        <v>1516</v>
      </c>
      <c r="J115" t="s">
        <v>21</v>
      </c>
      <c r="K115">
        <v>0</v>
      </c>
      <c r="M115">
        <v>1727</v>
      </c>
    </row>
    <row r="116" spans="1:13">
      <c r="A116">
        <v>110</v>
      </c>
      <c r="B116">
        <v>95776</v>
      </c>
      <c r="C116" t="s">
        <v>376</v>
      </c>
      <c r="D116" t="s">
        <v>94</v>
      </c>
      <c r="E116" t="s">
        <v>377</v>
      </c>
      <c r="F116" t="str">
        <f>"00371845"</f>
        <v>00371845</v>
      </c>
      <c r="G116" t="s">
        <v>371</v>
      </c>
      <c r="H116" t="s">
        <v>20</v>
      </c>
      <c r="I116">
        <v>1526</v>
      </c>
      <c r="J116" t="s">
        <v>21</v>
      </c>
      <c r="K116">
        <v>6</v>
      </c>
      <c r="L116" t="s">
        <v>35</v>
      </c>
      <c r="M116">
        <v>469</v>
      </c>
    </row>
    <row r="117" spans="1:13">
      <c r="A117">
        <v>111</v>
      </c>
      <c r="B117">
        <v>70554</v>
      </c>
      <c r="C117" t="s">
        <v>378</v>
      </c>
      <c r="D117" t="s">
        <v>80</v>
      </c>
      <c r="E117" t="s">
        <v>379</v>
      </c>
      <c r="F117" t="str">
        <f>"00370910"</f>
        <v>00370910</v>
      </c>
      <c r="G117" t="s">
        <v>380</v>
      </c>
      <c r="H117" t="s">
        <v>20</v>
      </c>
      <c r="I117">
        <v>1496</v>
      </c>
      <c r="J117" t="s">
        <v>21</v>
      </c>
      <c r="K117">
        <v>0</v>
      </c>
      <c r="M117">
        <v>1506</v>
      </c>
    </row>
    <row r="118" spans="1:13">
      <c r="A118">
        <v>112</v>
      </c>
      <c r="B118">
        <v>46126</v>
      </c>
      <c r="C118" t="s">
        <v>381</v>
      </c>
      <c r="D118" t="s">
        <v>334</v>
      </c>
      <c r="E118" t="s">
        <v>382</v>
      </c>
      <c r="F118" t="str">
        <f>"00263680"</f>
        <v>00263680</v>
      </c>
      <c r="G118" t="s">
        <v>52</v>
      </c>
      <c r="H118" t="s">
        <v>20</v>
      </c>
      <c r="I118">
        <v>1503</v>
      </c>
      <c r="J118" t="s">
        <v>21</v>
      </c>
      <c r="K118">
        <v>0</v>
      </c>
      <c r="L118" t="s">
        <v>35</v>
      </c>
      <c r="M118">
        <v>908</v>
      </c>
    </row>
    <row r="119" spans="1:13">
      <c r="A119">
        <v>113</v>
      </c>
      <c r="B119">
        <v>74091</v>
      </c>
      <c r="C119" t="s">
        <v>383</v>
      </c>
      <c r="D119" t="s">
        <v>249</v>
      </c>
      <c r="E119" t="s">
        <v>384</v>
      </c>
      <c r="F119" t="str">
        <f>"00384117"</f>
        <v>00384117</v>
      </c>
      <c r="G119" t="s">
        <v>111</v>
      </c>
      <c r="H119" t="s">
        <v>48</v>
      </c>
      <c r="I119">
        <v>1620</v>
      </c>
      <c r="J119" t="s">
        <v>21</v>
      </c>
      <c r="K119">
        <v>0</v>
      </c>
      <c r="L119" t="s">
        <v>35</v>
      </c>
      <c r="M119">
        <v>1300</v>
      </c>
    </row>
    <row r="120" spans="1:13">
      <c r="A120">
        <v>114</v>
      </c>
      <c r="B120">
        <v>94787</v>
      </c>
      <c r="C120" t="s">
        <v>385</v>
      </c>
      <c r="D120" t="s">
        <v>243</v>
      </c>
      <c r="E120" t="s">
        <v>386</v>
      </c>
      <c r="F120" t="str">
        <f>"00397803"</f>
        <v>00397803</v>
      </c>
      <c r="G120" t="s">
        <v>387</v>
      </c>
      <c r="H120" t="s">
        <v>234</v>
      </c>
      <c r="I120">
        <v>1340</v>
      </c>
      <c r="J120" t="s">
        <v>21</v>
      </c>
      <c r="K120">
        <v>0</v>
      </c>
      <c r="L120" t="s">
        <v>35</v>
      </c>
      <c r="M120">
        <v>1355</v>
      </c>
    </row>
    <row r="121" spans="1:13">
      <c r="A121">
        <v>115</v>
      </c>
      <c r="B121">
        <v>109696</v>
      </c>
      <c r="C121" t="s">
        <v>388</v>
      </c>
      <c r="D121" t="s">
        <v>218</v>
      </c>
      <c r="E121" t="s">
        <v>389</v>
      </c>
      <c r="F121" t="str">
        <f>"00375635"</f>
        <v>00375635</v>
      </c>
      <c r="G121" t="s">
        <v>29</v>
      </c>
      <c r="H121" t="s">
        <v>20</v>
      </c>
      <c r="I121">
        <v>1446</v>
      </c>
      <c r="J121" t="s">
        <v>21</v>
      </c>
      <c r="K121">
        <v>0</v>
      </c>
      <c r="M121">
        <v>1488</v>
      </c>
    </row>
    <row r="122" spans="1:13">
      <c r="A122">
        <v>116</v>
      </c>
      <c r="B122">
        <v>51274</v>
      </c>
      <c r="C122" t="s">
        <v>390</v>
      </c>
      <c r="D122" t="s">
        <v>391</v>
      </c>
      <c r="E122" t="s">
        <v>392</v>
      </c>
      <c r="F122" t="str">
        <f>"00367665"</f>
        <v>00367665</v>
      </c>
      <c r="G122" t="s">
        <v>215</v>
      </c>
      <c r="H122" t="s">
        <v>216</v>
      </c>
      <c r="I122">
        <v>1708</v>
      </c>
      <c r="J122" t="s">
        <v>21</v>
      </c>
      <c r="K122">
        <v>6</v>
      </c>
      <c r="M122">
        <v>1378</v>
      </c>
    </row>
    <row r="123" spans="1:13">
      <c r="A123">
        <v>117</v>
      </c>
      <c r="B123">
        <v>52266</v>
      </c>
      <c r="C123" t="s">
        <v>393</v>
      </c>
      <c r="D123" t="s">
        <v>105</v>
      </c>
      <c r="E123" t="s">
        <v>394</v>
      </c>
      <c r="F123" t="str">
        <f>"00091082"</f>
        <v>00091082</v>
      </c>
      <c r="G123" t="s">
        <v>395</v>
      </c>
      <c r="H123" t="s">
        <v>234</v>
      </c>
      <c r="I123">
        <v>1336</v>
      </c>
      <c r="J123" t="s">
        <v>21</v>
      </c>
      <c r="K123">
        <v>0</v>
      </c>
      <c r="M123">
        <v>1453</v>
      </c>
    </row>
    <row r="124" spans="1:13">
      <c r="A124">
        <v>118</v>
      </c>
      <c r="B124">
        <v>84844</v>
      </c>
      <c r="C124" t="s">
        <v>396</v>
      </c>
      <c r="D124" t="s">
        <v>205</v>
      </c>
      <c r="E124" t="s">
        <v>397</v>
      </c>
      <c r="F124" t="str">
        <f>"00360688"</f>
        <v>00360688</v>
      </c>
      <c r="G124" t="s">
        <v>29</v>
      </c>
      <c r="H124" t="s">
        <v>20</v>
      </c>
      <c r="I124">
        <v>1446</v>
      </c>
      <c r="J124" t="s">
        <v>21</v>
      </c>
      <c r="K124">
        <v>0</v>
      </c>
      <c r="L124" t="s">
        <v>88</v>
      </c>
      <c r="M124">
        <v>700</v>
      </c>
    </row>
    <row r="125" spans="1:13">
      <c r="A125">
        <v>119</v>
      </c>
      <c r="B125">
        <v>103735</v>
      </c>
      <c r="C125" t="s">
        <v>398</v>
      </c>
      <c r="D125" t="s">
        <v>399</v>
      </c>
      <c r="E125" t="s">
        <v>400</v>
      </c>
      <c r="F125" t="str">
        <f>"00393733"</f>
        <v>00393733</v>
      </c>
      <c r="G125" t="s">
        <v>24</v>
      </c>
      <c r="H125" t="s">
        <v>20</v>
      </c>
      <c r="I125">
        <v>1577</v>
      </c>
      <c r="J125" t="s">
        <v>21</v>
      </c>
      <c r="K125">
        <v>0</v>
      </c>
      <c r="L125" t="s">
        <v>401</v>
      </c>
      <c r="M125">
        <v>1128</v>
      </c>
    </row>
    <row r="126" spans="1:13">
      <c r="A126">
        <v>120</v>
      </c>
      <c r="B126">
        <v>88953</v>
      </c>
      <c r="C126" t="s">
        <v>402</v>
      </c>
      <c r="D126" t="s">
        <v>403</v>
      </c>
      <c r="E126" t="s">
        <v>404</v>
      </c>
      <c r="F126" t="str">
        <f>"00409382"</f>
        <v>00409382</v>
      </c>
      <c r="G126" t="s">
        <v>405</v>
      </c>
      <c r="H126" t="s">
        <v>20</v>
      </c>
      <c r="I126">
        <v>1448</v>
      </c>
      <c r="J126" t="s">
        <v>21</v>
      </c>
      <c r="K126">
        <v>6</v>
      </c>
      <c r="L126" t="s">
        <v>35</v>
      </c>
      <c r="M126">
        <v>1100</v>
      </c>
    </row>
    <row r="127" spans="1:13">
      <c r="A127">
        <v>121</v>
      </c>
      <c r="B127">
        <v>84540</v>
      </c>
      <c r="C127" t="s">
        <v>406</v>
      </c>
      <c r="D127" t="s">
        <v>407</v>
      </c>
      <c r="E127" t="s">
        <v>408</v>
      </c>
      <c r="F127" t="str">
        <f>"00388837"</f>
        <v>00388837</v>
      </c>
      <c r="G127" t="s">
        <v>19</v>
      </c>
      <c r="H127" t="s">
        <v>20</v>
      </c>
      <c r="I127">
        <v>1531</v>
      </c>
      <c r="J127" t="s">
        <v>21</v>
      </c>
      <c r="K127">
        <v>0</v>
      </c>
      <c r="L127" t="s">
        <v>401</v>
      </c>
      <c r="M127">
        <v>1163</v>
      </c>
    </row>
    <row r="128" spans="1:13">
      <c r="A128">
        <v>122</v>
      </c>
      <c r="B128">
        <v>64501</v>
      </c>
      <c r="C128" t="s">
        <v>409</v>
      </c>
      <c r="D128" t="s">
        <v>399</v>
      </c>
      <c r="E128" t="s">
        <v>410</v>
      </c>
      <c r="F128" t="str">
        <f>"00353700"</f>
        <v>00353700</v>
      </c>
      <c r="G128" t="s">
        <v>87</v>
      </c>
      <c r="H128" t="s">
        <v>20</v>
      </c>
      <c r="I128">
        <v>1436</v>
      </c>
      <c r="J128" t="s">
        <v>21</v>
      </c>
      <c r="K128">
        <v>0</v>
      </c>
      <c r="L128" t="s">
        <v>401</v>
      </c>
      <c r="M128">
        <v>1063</v>
      </c>
    </row>
    <row r="129" spans="1:13">
      <c r="A129">
        <v>123</v>
      </c>
      <c r="B129">
        <v>104990</v>
      </c>
      <c r="C129" t="s">
        <v>411</v>
      </c>
      <c r="D129" t="s">
        <v>412</v>
      </c>
      <c r="E129" t="s">
        <v>413</v>
      </c>
      <c r="F129" t="str">
        <f>"00392731"</f>
        <v>00392731</v>
      </c>
      <c r="G129" t="s">
        <v>78</v>
      </c>
      <c r="H129" t="s">
        <v>20</v>
      </c>
      <c r="I129">
        <v>1460</v>
      </c>
      <c r="J129" t="s">
        <v>21</v>
      </c>
      <c r="K129">
        <v>0</v>
      </c>
      <c r="L129" t="s">
        <v>35</v>
      </c>
      <c r="M129">
        <v>1308</v>
      </c>
    </row>
    <row r="130" spans="1:13">
      <c r="A130">
        <v>124</v>
      </c>
      <c r="B130">
        <v>55298</v>
      </c>
      <c r="C130" t="s">
        <v>414</v>
      </c>
      <c r="D130" t="s">
        <v>117</v>
      </c>
      <c r="E130" t="s">
        <v>415</v>
      </c>
      <c r="F130" t="str">
        <f>"00346820"</f>
        <v>00346820</v>
      </c>
      <c r="G130" t="s">
        <v>107</v>
      </c>
      <c r="H130" t="s">
        <v>20</v>
      </c>
      <c r="I130">
        <v>1472</v>
      </c>
      <c r="J130" t="s">
        <v>21</v>
      </c>
      <c r="K130">
        <v>0</v>
      </c>
      <c r="L130" t="s">
        <v>59</v>
      </c>
      <c r="M130">
        <v>992</v>
      </c>
    </row>
    <row r="131" spans="1:13">
      <c r="A131">
        <v>125</v>
      </c>
      <c r="B131">
        <v>112599</v>
      </c>
      <c r="C131" t="s">
        <v>416</v>
      </c>
      <c r="D131" t="s">
        <v>105</v>
      </c>
      <c r="E131" t="s">
        <v>417</v>
      </c>
      <c r="F131" t="str">
        <f>"201511024938"</f>
        <v>201511024938</v>
      </c>
      <c r="G131" t="s">
        <v>418</v>
      </c>
      <c r="H131" t="s">
        <v>234</v>
      </c>
      <c r="I131">
        <v>1335</v>
      </c>
      <c r="J131" t="s">
        <v>21</v>
      </c>
      <c r="K131">
        <v>6</v>
      </c>
      <c r="L131" t="s">
        <v>88</v>
      </c>
      <c r="M131">
        <v>751</v>
      </c>
    </row>
    <row r="132" spans="1:13">
      <c r="A132">
        <v>126</v>
      </c>
      <c r="B132">
        <v>101139</v>
      </c>
      <c r="C132" t="s">
        <v>419</v>
      </c>
      <c r="D132" t="s">
        <v>80</v>
      </c>
      <c r="E132" t="s">
        <v>420</v>
      </c>
      <c r="F132" t="str">
        <f>"00377696"</f>
        <v>00377696</v>
      </c>
      <c r="G132" t="s">
        <v>24</v>
      </c>
      <c r="H132" t="s">
        <v>20</v>
      </c>
      <c r="I132">
        <v>1577</v>
      </c>
      <c r="J132" t="s">
        <v>21</v>
      </c>
      <c r="K132">
        <v>0</v>
      </c>
      <c r="M132">
        <v>1518</v>
      </c>
    </row>
    <row r="133" spans="1:13">
      <c r="A133">
        <v>127</v>
      </c>
      <c r="B133">
        <v>57725</v>
      </c>
      <c r="C133" t="s">
        <v>421</v>
      </c>
      <c r="D133" t="s">
        <v>153</v>
      </c>
      <c r="E133" t="s">
        <v>422</v>
      </c>
      <c r="F133" t="str">
        <f>"201511006445"</f>
        <v>201511006445</v>
      </c>
      <c r="G133" t="s">
        <v>170</v>
      </c>
      <c r="H133" t="s">
        <v>423</v>
      </c>
      <c r="I133">
        <v>1636</v>
      </c>
      <c r="J133" t="s">
        <v>21</v>
      </c>
      <c r="K133">
        <v>0</v>
      </c>
      <c r="L133" t="s">
        <v>59</v>
      </c>
      <c r="M133">
        <v>988</v>
      </c>
    </row>
    <row r="134" spans="1:13">
      <c r="A134">
        <v>128</v>
      </c>
      <c r="B134">
        <v>60687</v>
      </c>
      <c r="C134" t="s">
        <v>424</v>
      </c>
      <c r="D134" t="s">
        <v>145</v>
      </c>
      <c r="E134" t="s">
        <v>425</v>
      </c>
      <c r="F134" t="str">
        <f>"00083882"</f>
        <v>00083882</v>
      </c>
      <c r="G134" t="s">
        <v>107</v>
      </c>
      <c r="H134" t="s">
        <v>20</v>
      </c>
      <c r="I134">
        <v>1472</v>
      </c>
      <c r="J134" t="s">
        <v>21</v>
      </c>
      <c r="K134">
        <v>0</v>
      </c>
      <c r="L134" t="s">
        <v>88</v>
      </c>
      <c r="M134">
        <v>550</v>
      </c>
    </row>
    <row r="135" spans="1:13">
      <c r="A135">
        <v>129</v>
      </c>
      <c r="B135">
        <v>106052</v>
      </c>
      <c r="C135" t="s">
        <v>426</v>
      </c>
      <c r="D135" t="s">
        <v>218</v>
      </c>
      <c r="E135" t="s">
        <v>427</v>
      </c>
      <c r="F135" t="str">
        <f>"00374793"</f>
        <v>00374793</v>
      </c>
      <c r="G135" t="s">
        <v>428</v>
      </c>
      <c r="H135" t="s">
        <v>20</v>
      </c>
      <c r="I135">
        <v>1556</v>
      </c>
      <c r="J135" t="s">
        <v>21</v>
      </c>
      <c r="K135">
        <v>6</v>
      </c>
      <c r="M135">
        <v>1288</v>
      </c>
    </row>
    <row r="136" spans="1:13">
      <c r="A136">
        <v>130</v>
      </c>
      <c r="B136">
        <v>113420</v>
      </c>
      <c r="C136" t="s">
        <v>429</v>
      </c>
      <c r="D136" t="s">
        <v>109</v>
      </c>
      <c r="E136" t="s">
        <v>430</v>
      </c>
      <c r="F136" t="str">
        <f>"00362912"</f>
        <v>00362912</v>
      </c>
      <c r="G136" t="s">
        <v>332</v>
      </c>
      <c r="H136" t="s">
        <v>274</v>
      </c>
      <c r="I136">
        <v>1389</v>
      </c>
      <c r="J136" t="s">
        <v>21</v>
      </c>
      <c r="K136">
        <v>6</v>
      </c>
      <c r="L136" t="s">
        <v>35</v>
      </c>
      <c r="M136">
        <v>1406</v>
      </c>
    </row>
    <row r="137" spans="1:13">
      <c r="A137">
        <v>131</v>
      </c>
      <c r="B137">
        <v>60034</v>
      </c>
      <c r="C137" t="s">
        <v>431</v>
      </c>
      <c r="D137" t="s">
        <v>249</v>
      </c>
      <c r="E137" t="s">
        <v>432</v>
      </c>
      <c r="F137" t="str">
        <f>"00287377"</f>
        <v>00287377</v>
      </c>
      <c r="G137" t="s">
        <v>38</v>
      </c>
      <c r="H137" t="s">
        <v>39</v>
      </c>
      <c r="I137">
        <v>1634</v>
      </c>
      <c r="J137" t="s">
        <v>21</v>
      </c>
      <c r="K137">
        <v>6</v>
      </c>
      <c r="M137">
        <v>1376</v>
      </c>
    </row>
    <row r="138" spans="1:13">
      <c r="A138">
        <v>132</v>
      </c>
      <c r="B138">
        <v>62368</v>
      </c>
      <c r="C138" t="s">
        <v>433</v>
      </c>
      <c r="D138" t="s">
        <v>228</v>
      </c>
      <c r="E138" t="s">
        <v>434</v>
      </c>
      <c r="F138" t="str">
        <f>"00351557"</f>
        <v>00351557</v>
      </c>
      <c r="G138" t="s">
        <v>150</v>
      </c>
      <c r="H138" t="s">
        <v>151</v>
      </c>
      <c r="I138">
        <v>1699</v>
      </c>
      <c r="J138" t="s">
        <v>21</v>
      </c>
      <c r="K138">
        <v>0</v>
      </c>
      <c r="M138">
        <v>1308</v>
      </c>
    </row>
    <row r="139" spans="1:13">
      <c r="A139">
        <v>133</v>
      </c>
      <c r="B139">
        <v>47746</v>
      </c>
      <c r="C139" t="s">
        <v>435</v>
      </c>
      <c r="D139" t="s">
        <v>139</v>
      </c>
      <c r="E139" t="s">
        <v>436</v>
      </c>
      <c r="F139" t="str">
        <f>"00359453"</f>
        <v>00359453</v>
      </c>
      <c r="G139" t="s">
        <v>437</v>
      </c>
      <c r="H139" t="s">
        <v>20</v>
      </c>
      <c r="I139">
        <v>1407</v>
      </c>
      <c r="J139" t="s">
        <v>21</v>
      </c>
      <c r="K139">
        <v>0</v>
      </c>
      <c r="L139" t="s">
        <v>35</v>
      </c>
      <c r="M139">
        <v>1000</v>
      </c>
    </row>
    <row r="140" spans="1:13">
      <c r="A140">
        <v>134</v>
      </c>
      <c r="B140">
        <v>70589</v>
      </c>
      <c r="C140" t="s">
        <v>438</v>
      </c>
      <c r="D140" t="s">
        <v>139</v>
      </c>
      <c r="E140" t="s">
        <v>439</v>
      </c>
      <c r="F140" t="str">
        <f>"201511023169"</f>
        <v>201511023169</v>
      </c>
      <c r="G140" t="s">
        <v>87</v>
      </c>
      <c r="H140" t="s">
        <v>20</v>
      </c>
      <c r="I140">
        <v>1436</v>
      </c>
      <c r="J140" t="s">
        <v>21</v>
      </c>
      <c r="K140">
        <v>0</v>
      </c>
      <c r="L140" t="s">
        <v>35</v>
      </c>
      <c r="M140">
        <v>883</v>
      </c>
    </row>
    <row r="141" spans="1:13">
      <c r="A141">
        <v>135</v>
      </c>
      <c r="B141">
        <v>97447</v>
      </c>
      <c r="C141" t="s">
        <v>440</v>
      </c>
      <c r="D141" t="s">
        <v>441</v>
      </c>
      <c r="E141" t="s">
        <v>442</v>
      </c>
      <c r="F141" t="str">
        <f>"00399980"</f>
        <v>00399980</v>
      </c>
      <c r="G141" t="s">
        <v>107</v>
      </c>
      <c r="H141" t="s">
        <v>20</v>
      </c>
      <c r="I141">
        <v>1472</v>
      </c>
      <c r="J141" t="s">
        <v>21</v>
      </c>
      <c r="K141">
        <v>0</v>
      </c>
      <c r="M141">
        <v>1478</v>
      </c>
    </row>
    <row r="142" spans="1:13">
      <c r="A142">
        <v>136</v>
      </c>
      <c r="B142">
        <v>88478</v>
      </c>
      <c r="C142" t="s">
        <v>443</v>
      </c>
      <c r="D142" t="s">
        <v>444</v>
      </c>
      <c r="E142" t="s">
        <v>445</v>
      </c>
      <c r="F142" t="str">
        <f>"00402199"</f>
        <v>00402199</v>
      </c>
      <c r="G142" t="s">
        <v>446</v>
      </c>
      <c r="H142" t="s">
        <v>137</v>
      </c>
      <c r="I142">
        <v>1602</v>
      </c>
      <c r="J142" t="s">
        <v>21</v>
      </c>
      <c r="K142">
        <v>0</v>
      </c>
      <c r="M142">
        <v>1728</v>
      </c>
    </row>
    <row r="143" spans="1:13">
      <c r="A143">
        <v>137</v>
      </c>
      <c r="B143">
        <v>76844</v>
      </c>
      <c r="C143" t="s">
        <v>447</v>
      </c>
      <c r="D143" t="s">
        <v>448</v>
      </c>
      <c r="E143" t="s">
        <v>449</v>
      </c>
      <c r="F143" t="str">
        <f>"00251861"</f>
        <v>00251861</v>
      </c>
      <c r="G143" t="s">
        <v>96</v>
      </c>
      <c r="H143" t="s">
        <v>20</v>
      </c>
      <c r="I143">
        <v>1474</v>
      </c>
      <c r="J143" t="s">
        <v>21</v>
      </c>
      <c r="K143">
        <v>0</v>
      </c>
      <c r="M143">
        <v>1528</v>
      </c>
    </row>
    <row r="144" spans="1:13">
      <c r="A144">
        <v>138</v>
      </c>
      <c r="B144">
        <v>67778</v>
      </c>
      <c r="C144" t="s">
        <v>450</v>
      </c>
      <c r="D144" t="s">
        <v>451</v>
      </c>
      <c r="E144" t="s">
        <v>452</v>
      </c>
      <c r="F144" t="str">
        <f>"00379328"</f>
        <v>00379328</v>
      </c>
      <c r="G144" t="s">
        <v>107</v>
      </c>
      <c r="H144" t="s">
        <v>20</v>
      </c>
      <c r="I144">
        <v>1472</v>
      </c>
      <c r="J144" t="s">
        <v>21</v>
      </c>
      <c r="K144">
        <v>0</v>
      </c>
      <c r="L144" t="s">
        <v>88</v>
      </c>
      <c r="M144">
        <v>600</v>
      </c>
    </row>
    <row r="145" spans="1:13">
      <c r="A145">
        <v>139</v>
      </c>
      <c r="B145">
        <v>109554</v>
      </c>
      <c r="C145" t="s">
        <v>453</v>
      </c>
      <c r="D145" t="s">
        <v>145</v>
      </c>
      <c r="E145" t="s">
        <v>454</v>
      </c>
      <c r="F145" t="str">
        <f>"00420805"</f>
        <v>00420805</v>
      </c>
      <c r="G145" t="s">
        <v>107</v>
      </c>
      <c r="H145" t="s">
        <v>20</v>
      </c>
      <c r="I145">
        <v>1472</v>
      </c>
      <c r="J145" t="s">
        <v>21</v>
      </c>
      <c r="K145">
        <v>0</v>
      </c>
      <c r="M145">
        <v>1448</v>
      </c>
    </row>
    <row r="146" spans="1:13">
      <c r="A146">
        <v>140</v>
      </c>
      <c r="B146">
        <v>96040</v>
      </c>
      <c r="C146" t="s">
        <v>455</v>
      </c>
      <c r="D146" t="s">
        <v>213</v>
      </c>
      <c r="E146" t="s">
        <v>456</v>
      </c>
      <c r="F146" t="str">
        <f>"00420652"</f>
        <v>00420652</v>
      </c>
      <c r="G146" t="s">
        <v>284</v>
      </c>
      <c r="H146" t="s">
        <v>270</v>
      </c>
      <c r="I146">
        <v>1586</v>
      </c>
      <c r="J146" t="s">
        <v>21</v>
      </c>
      <c r="K146">
        <v>0</v>
      </c>
      <c r="L146" t="s">
        <v>35</v>
      </c>
      <c r="M146">
        <v>908</v>
      </c>
    </row>
    <row r="147" spans="1:13">
      <c r="A147">
        <v>141</v>
      </c>
      <c r="B147">
        <v>76012</v>
      </c>
      <c r="C147" t="s">
        <v>457</v>
      </c>
      <c r="D147" t="s">
        <v>243</v>
      </c>
      <c r="E147" t="s">
        <v>458</v>
      </c>
      <c r="F147" t="str">
        <f>"00393809"</f>
        <v>00393809</v>
      </c>
      <c r="G147" t="s">
        <v>459</v>
      </c>
      <c r="H147" t="s">
        <v>20</v>
      </c>
      <c r="I147">
        <v>1485</v>
      </c>
      <c r="J147" t="s">
        <v>21</v>
      </c>
      <c r="K147">
        <v>6</v>
      </c>
      <c r="M147">
        <v>1598</v>
      </c>
    </row>
    <row r="148" spans="1:13">
      <c r="A148">
        <v>142</v>
      </c>
      <c r="B148">
        <v>110360</v>
      </c>
      <c r="C148" t="s">
        <v>460</v>
      </c>
      <c r="D148" t="s">
        <v>461</v>
      </c>
      <c r="E148" t="s">
        <v>462</v>
      </c>
      <c r="F148" t="str">
        <f>"00338270"</f>
        <v>00338270</v>
      </c>
      <c r="G148" t="s">
        <v>147</v>
      </c>
      <c r="H148" t="s">
        <v>20</v>
      </c>
      <c r="I148">
        <v>1529</v>
      </c>
      <c r="J148" t="s">
        <v>21</v>
      </c>
      <c r="K148">
        <v>0</v>
      </c>
      <c r="M148">
        <v>1968</v>
      </c>
    </row>
    <row r="149" spans="1:13">
      <c r="A149">
        <v>143</v>
      </c>
      <c r="B149">
        <v>75597</v>
      </c>
      <c r="C149" t="s">
        <v>463</v>
      </c>
      <c r="D149" t="s">
        <v>243</v>
      </c>
      <c r="E149" t="s">
        <v>464</v>
      </c>
      <c r="F149" t="str">
        <f>"00362516"</f>
        <v>00362516</v>
      </c>
      <c r="G149" t="s">
        <v>465</v>
      </c>
      <c r="H149" t="s">
        <v>20</v>
      </c>
      <c r="I149">
        <v>1534</v>
      </c>
      <c r="J149" t="s">
        <v>21</v>
      </c>
      <c r="K149">
        <v>0</v>
      </c>
      <c r="L149" t="s">
        <v>59</v>
      </c>
      <c r="M149">
        <v>897</v>
      </c>
    </row>
    <row r="150" spans="1:13">
      <c r="A150">
        <v>144</v>
      </c>
      <c r="B150">
        <v>109745</v>
      </c>
      <c r="C150" t="s">
        <v>466</v>
      </c>
      <c r="D150" t="s">
        <v>105</v>
      </c>
      <c r="E150" t="s">
        <v>467</v>
      </c>
      <c r="F150" t="str">
        <f>"00411588"</f>
        <v>00411588</v>
      </c>
      <c r="G150" t="s">
        <v>468</v>
      </c>
      <c r="H150" t="s">
        <v>469</v>
      </c>
      <c r="I150">
        <v>1378</v>
      </c>
      <c r="J150" t="s">
        <v>21</v>
      </c>
      <c r="K150">
        <v>0</v>
      </c>
      <c r="M150">
        <v>1388</v>
      </c>
    </row>
    <row r="151" spans="1:13">
      <c r="A151">
        <v>145</v>
      </c>
      <c r="B151">
        <v>53992</v>
      </c>
      <c r="C151" t="s">
        <v>470</v>
      </c>
      <c r="D151" t="s">
        <v>94</v>
      </c>
      <c r="E151" t="s">
        <v>471</v>
      </c>
      <c r="F151" t="str">
        <f>"00241374"</f>
        <v>00241374</v>
      </c>
      <c r="G151" t="s">
        <v>465</v>
      </c>
      <c r="H151" t="s">
        <v>20</v>
      </c>
      <c r="I151">
        <v>1534</v>
      </c>
      <c r="J151" t="s">
        <v>21</v>
      </c>
      <c r="K151">
        <v>0</v>
      </c>
      <c r="L151" t="s">
        <v>83</v>
      </c>
      <c r="M151">
        <v>1248</v>
      </c>
    </row>
    <row r="152" spans="1:13">
      <c r="A152">
        <v>146</v>
      </c>
      <c r="B152">
        <v>94049</v>
      </c>
      <c r="C152" t="s">
        <v>472</v>
      </c>
      <c r="D152" t="s">
        <v>145</v>
      </c>
      <c r="E152" t="s">
        <v>473</v>
      </c>
      <c r="F152" t="str">
        <f>"00406274"</f>
        <v>00406274</v>
      </c>
      <c r="G152" t="s">
        <v>299</v>
      </c>
      <c r="H152" t="s">
        <v>20</v>
      </c>
      <c r="I152">
        <v>1490</v>
      </c>
      <c r="J152" t="s">
        <v>21</v>
      </c>
      <c r="K152">
        <v>0</v>
      </c>
      <c r="L152" t="s">
        <v>35</v>
      </c>
      <c r="M152">
        <v>923</v>
      </c>
    </row>
    <row r="153" spans="1:13">
      <c r="A153">
        <v>147</v>
      </c>
      <c r="B153">
        <v>97348</v>
      </c>
      <c r="C153" t="s">
        <v>474</v>
      </c>
      <c r="D153" t="s">
        <v>205</v>
      </c>
      <c r="E153" t="s">
        <v>475</v>
      </c>
      <c r="F153" t="str">
        <f>"00403999"</f>
        <v>00403999</v>
      </c>
      <c r="G153" t="s">
        <v>476</v>
      </c>
      <c r="H153" t="s">
        <v>274</v>
      </c>
      <c r="I153">
        <v>1385</v>
      </c>
      <c r="J153" t="s">
        <v>21</v>
      </c>
      <c r="K153">
        <v>6</v>
      </c>
      <c r="L153" t="s">
        <v>35</v>
      </c>
      <c r="M153">
        <v>1170</v>
      </c>
    </row>
    <row r="154" spans="1:13">
      <c r="A154">
        <v>148</v>
      </c>
      <c r="B154">
        <v>62378</v>
      </c>
      <c r="C154" t="s">
        <v>477</v>
      </c>
      <c r="D154" t="s">
        <v>105</v>
      </c>
      <c r="E154" t="s">
        <v>478</v>
      </c>
      <c r="F154" t="str">
        <f>"00049598"</f>
        <v>00049598</v>
      </c>
      <c r="G154" t="s">
        <v>107</v>
      </c>
      <c r="H154" t="s">
        <v>20</v>
      </c>
      <c r="I154">
        <v>1472</v>
      </c>
      <c r="J154" t="s">
        <v>21</v>
      </c>
      <c r="K154">
        <v>0</v>
      </c>
      <c r="L154" t="s">
        <v>35</v>
      </c>
      <c r="M154">
        <v>941</v>
      </c>
    </row>
    <row r="155" spans="1:13">
      <c r="A155">
        <v>149</v>
      </c>
      <c r="B155">
        <v>107953</v>
      </c>
      <c r="C155" t="s">
        <v>479</v>
      </c>
      <c r="D155" t="s">
        <v>121</v>
      </c>
      <c r="E155" t="s">
        <v>480</v>
      </c>
      <c r="F155" t="str">
        <f>"00423751"</f>
        <v>00423751</v>
      </c>
      <c r="G155" t="s">
        <v>481</v>
      </c>
      <c r="H155" t="s">
        <v>20</v>
      </c>
      <c r="I155">
        <v>1547</v>
      </c>
      <c r="J155" t="s">
        <v>21</v>
      </c>
      <c r="K155">
        <v>0</v>
      </c>
      <c r="M155">
        <v>1438</v>
      </c>
    </row>
    <row r="156" spans="1:13">
      <c r="A156">
        <v>150</v>
      </c>
      <c r="B156">
        <v>107399</v>
      </c>
      <c r="C156" t="s">
        <v>482</v>
      </c>
      <c r="D156" t="s">
        <v>105</v>
      </c>
      <c r="E156" t="s">
        <v>483</v>
      </c>
      <c r="F156" t="str">
        <f>"00367253"</f>
        <v>00367253</v>
      </c>
      <c r="G156" t="s">
        <v>150</v>
      </c>
      <c r="H156" t="s">
        <v>151</v>
      </c>
      <c r="I156">
        <v>1699</v>
      </c>
      <c r="J156" t="s">
        <v>21</v>
      </c>
      <c r="K156">
        <v>0</v>
      </c>
      <c r="L156" t="s">
        <v>35</v>
      </c>
      <c r="M156">
        <v>908</v>
      </c>
    </row>
    <row r="157" spans="1:13">
      <c r="A157">
        <v>151</v>
      </c>
      <c r="B157">
        <v>82482</v>
      </c>
      <c r="C157" t="s">
        <v>484</v>
      </c>
      <c r="D157" t="s">
        <v>243</v>
      </c>
      <c r="E157" t="s">
        <v>485</v>
      </c>
      <c r="F157" t="str">
        <f>"00381298"</f>
        <v>00381298</v>
      </c>
      <c r="G157" t="s">
        <v>107</v>
      </c>
      <c r="H157" t="s">
        <v>20</v>
      </c>
      <c r="I157">
        <v>1472</v>
      </c>
      <c r="J157" t="s">
        <v>21</v>
      </c>
      <c r="K157">
        <v>0</v>
      </c>
      <c r="M157">
        <v>1588</v>
      </c>
    </row>
    <row r="158" spans="1:13">
      <c r="A158">
        <v>152</v>
      </c>
      <c r="B158">
        <v>102294</v>
      </c>
      <c r="C158" t="s">
        <v>486</v>
      </c>
      <c r="D158" t="s">
        <v>76</v>
      </c>
      <c r="E158" t="s">
        <v>487</v>
      </c>
      <c r="F158" t="str">
        <f>"00403597"</f>
        <v>00403597</v>
      </c>
      <c r="G158" t="s">
        <v>488</v>
      </c>
      <c r="H158" t="s">
        <v>20</v>
      </c>
      <c r="I158">
        <v>1482</v>
      </c>
      <c r="J158" t="s">
        <v>21</v>
      </c>
      <c r="K158">
        <v>0</v>
      </c>
      <c r="M158">
        <v>1435</v>
      </c>
    </row>
    <row r="159" spans="1:13">
      <c r="A159">
        <v>153</v>
      </c>
      <c r="B159">
        <v>48188</v>
      </c>
      <c r="C159" t="s">
        <v>489</v>
      </c>
      <c r="D159" t="s">
        <v>76</v>
      </c>
      <c r="E159" t="s">
        <v>490</v>
      </c>
      <c r="F159" t="str">
        <f>"00346737"</f>
        <v>00346737</v>
      </c>
      <c r="G159" t="s">
        <v>203</v>
      </c>
      <c r="H159" t="s">
        <v>20</v>
      </c>
      <c r="I159">
        <v>1476</v>
      </c>
      <c r="J159" t="s">
        <v>21</v>
      </c>
      <c r="K159">
        <v>6</v>
      </c>
      <c r="M159">
        <v>1486</v>
      </c>
    </row>
    <row r="160" spans="1:13">
      <c r="A160">
        <v>154</v>
      </c>
      <c r="B160">
        <v>47166</v>
      </c>
      <c r="C160" t="s">
        <v>491</v>
      </c>
      <c r="D160" t="s">
        <v>492</v>
      </c>
      <c r="E160" t="s">
        <v>493</v>
      </c>
      <c r="F160" t="str">
        <f>"00049742"</f>
        <v>00049742</v>
      </c>
      <c r="G160" t="s">
        <v>380</v>
      </c>
      <c r="H160" t="s">
        <v>20</v>
      </c>
      <c r="I160">
        <v>1496</v>
      </c>
      <c r="J160" t="s">
        <v>21</v>
      </c>
      <c r="K160">
        <v>0</v>
      </c>
      <c r="M160">
        <v>1718</v>
      </c>
    </row>
    <row r="161" spans="1:13">
      <c r="A161">
        <v>155</v>
      </c>
      <c r="B161">
        <v>108342</v>
      </c>
      <c r="C161" t="s">
        <v>494</v>
      </c>
      <c r="D161" t="s">
        <v>495</v>
      </c>
      <c r="E161" t="s">
        <v>496</v>
      </c>
      <c r="F161" t="str">
        <f>"00389897"</f>
        <v>00389897</v>
      </c>
      <c r="G161" t="s">
        <v>497</v>
      </c>
      <c r="H161" t="s">
        <v>274</v>
      </c>
      <c r="I161">
        <v>1398</v>
      </c>
      <c r="J161" t="s">
        <v>21</v>
      </c>
      <c r="K161">
        <v>6</v>
      </c>
      <c r="L161" t="s">
        <v>35</v>
      </c>
      <c r="M161">
        <v>1100</v>
      </c>
    </row>
    <row r="162" spans="1:13">
      <c r="A162">
        <v>156</v>
      </c>
      <c r="B162">
        <v>101467</v>
      </c>
      <c r="C162" t="s">
        <v>498</v>
      </c>
      <c r="D162" t="s">
        <v>76</v>
      </c>
      <c r="E162" t="s">
        <v>499</v>
      </c>
      <c r="F162" t="str">
        <f>"201511022514"</f>
        <v>201511022514</v>
      </c>
      <c r="G162" t="s">
        <v>211</v>
      </c>
      <c r="H162" t="s">
        <v>48</v>
      </c>
      <c r="I162">
        <v>1628</v>
      </c>
      <c r="J162" t="s">
        <v>21</v>
      </c>
      <c r="K162">
        <v>0</v>
      </c>
      <c r="L162" t="s">
        <v>112</v>
      </c>
      <c r="M162">
        <v>808</v>
      </c>
    </row>
    <row r="163" spans="1:13">
      <c r="A163">
        <v>157</v>
      </c>
      <c r="B163">
        <v>90552</v>
      </c>
      <c r="C163" t="s">
        <v>500</v>
      </c>
      <c r="D163" t="s">
        <v>76</v>
      </c>
      <c r="E163" t="s">
        <v>501</v>
      </c>
      <c r="F163" t="str">
        <f>"00325627"</f>
        <v>00325627</v>
      </c>
      <c r="G163" t="s">
        <v>502</v>
      </c>
      <c r="H163" t="s">
        <v>503</v>
      </c>
      <c r="I163">
        <v>1359</v>
      </c>
      <c r="J163" t="s">
        <v>21</v>
      </c>
      <c r="K163">
        <v>0</v>
      </c>
      <c r="M163">
        <v>1528</v>
      </c>
    </row>
    <row r="164" spans="1:13">
      <c r="A164">
        <v>158</v>
      </c>
      <c r="B164">
        <v>63152</v>
      </c>
      <c r="C164" t="s">
        <v>504</v>
      </c>
      <c r="D164" t="s">
        <v>238</v>
      </c>
      <c r="E164" t="s">
        <v>505</v>
      </c>
      <c r="F164" t="str">
        <f>"00356614"</f>
        <v>00356614</v>
      </c>
      <c r="G164" t="s">
        <v>111</v>
      </c>
      <c r="H164" t="s">
        <v>48</v>
      </c>
      <c r="I164">
        <v>1620</v>
      </c>
      <c r="J164" t="s">
        <v>21</v>
      </c>
      <c r="K164">
        <v>0</v>
      </c>
      <c r="M164">
        <v>1418</v>
      </c>
    </row>
    <row r="165" spans="1:13">
      <c r="A165">
        <v>159</v>
      </c>
      <c r="B165">
        <v>47986</v>
      </c>
      <c r="C165" t="s">
        <v>506</v>
      </c>
      <c r="D165" t="s">
        <v>507</v>
      </c>
      <c r="E165" t="s">
        <v>508</v>
      </c>
      <c r="F165" t="str">
        <f>"00359745"</f>
        <v>00359745</v>
      </c>
      <c r="G165" t="s">
        <v>365</v>
      </c>
      <c r="H165" t="s">
        <v>366</v>
      </c>
      <c r="I165">
        <v>1692</v>
      </c>
      <c r="J165" t="s">
        <v>21</v>
      </c>
      <c r="K165">
        <v>0</v>
      </c>
      <c r="L165" t="s">
        <v>35</v>
      </c>
      <c r="M165">
        <v>908</v>
      </c>
    </row>
    <row r="166" spans="1:13">
      <c r="A166">
        <v>160</v>
      </c>
      <c r="B166">
        <v>62191</v>
      </c>
      <c r="C166" t="s">
        <v>509</v>
      </c>
      <c r="D166" t="s">
        <v>153</v>
      </c>
      <c r="E166" t="s">
        <v>510</v>
      </c>
      <c r="F166" t="str">
        <f>"00259515"</f>
        <v>00259515</v>
      </c>
      <c r="G166" t="s">
        <v>511</v>
      </c>
      <c r="H166" t="s">
        <v>20</v>
      </c>
      <c r="I166">
        <v>1466</v>
      </c>
      <c r="J166" t="s">
        <v>21</v>
      </c>
      <c r="K166">
        <v>6</v>
      </c>
      <c r="M166">
        <v>1678</v>
      </c>
    </row>
    <row r="167" spans="1:13">
      <c r="A167">
        <v>161</v>
      </c>
      <c r="B167">
        <v>58867</v>
      </c>
      <c r="C167" t="s">
        <v>512</v>
      </c>
      <c r="D167" t="s">
        <v>513</v>
      </c>
      <c r="E167" t="s">
        <v>514</v>
      </c>
      <c r="F167" t="str">
        <f>"00268001"</f>
        <v>00268001</v>
      </c>
      <c r="G167" t="s">
        <v>82</v>
      </c>
      <c r="H167" t="s">
        <v>20</v>
      </c>
      <c r="I167">
        <v>1475</v>
      </c>
      <c r="J167" t="s">
        <v>21</v>
      </c>
      <c r="K167">
        <v>0</v>
      </c>
      <c r="M167">
        <v>1388</v>
      </c>
    </row>
    <row r="168" spans="1:13">
      <c r="A168">
        <v>162</v>
      </c>
      <c r="B168">
        <v>57553</v>
      </c>
      <c r="C168" t="s">
        <v>515</v>
      </c>
      <c r="D168" t="s">
        <v>516</v>
      </c>
      <c r="E168" t="s">
        <v>517</v>
      </c>
      <c r="F168" t="str">
        <f>"00250597"</f>
        <v>00250597</v>
      </c>
      <c r="G168" t="s">
        <v>19</v>
      </c>
      <c r="H168" t="s">
        <v>20</v>
      </c>
      <c r="I168">
        <v>1531</v>
      </c>
      <c r="J168" t="s">
        <v>21</v>
      </c>
      <c r="K168">
        <v>0</v>
      </c>
      <c r="M168">
        <v>1338</v>
      </c>
    </row>
    <row r="169" spans="1:13">
      <c r="A169">
        <v>163</v>
      </c>
      <c r="B169">
        <v>58400</v>
      </c>
      <c r="C169" t="s">
        <v>518</v>
      </c>
      <c r="D169" t="s">
        <v>180</v>
      </c>
      <c r="E169" t="s">
        <v>519</v>
      </c>
      <c r="F169" t="str">
        <f>"201511019454"</f>
        <v>201511019454</v>
      </c>
      <c r="G169" t="s">
        <v>520</v>
      </c>
      <c r="H169" t="s">
        <v>20</v>
      </c>
      <c r="I169">
        <v>1540</v>
      </c>
      <c r="J169" t="s">
        <v>21</v>
      </c>
      <c r="K169">
        <v>0</v>
      </c>
      <c r="L169" t="s">
        <v>35</v>
      </c>
      <c r="M169">
        <v>908</v>
      </c>
    </row>
    <row r="170" spans="1:13">
      <c r="A170">
        <v>164</v>
      </c>
      <c r="B170">
        <v>110418</v>
      </c>
      <c r="C170" t="s">
        <v>521</v>
      </c>
      <c r="D170" t="s">
        <v>205</v>
      </c>
      <c r="E170" t="s">
        <v>522</v>
      </c>
      <c r="F170" t="str">
        <f>"00410717"</f>
        <v>00410717</v>
      </c>
      <c r="G170" t="s">
        <v>96</v>
      </c>
      <c r="H170" t="s">
        <v>20</v>
      </c>
      <c r="I170">
        <v>1474</v>
      </c>
      <c r="J170" t="s">
        <v>21</v>
      </c>
      <c r="K170">
        <v>0</v>
      </c>
      <c r="L170" t="s">
        <v>35</v>
      </c>
      <c r="M170">
        <v>1117</v>
      </c>
    </row>
    <row r="171" spans="1:13">
      <c r="A171">
        <v>165</v>
      </c>
      <c r="B171">
        <v>99384</v>
      </c>
      <c r="C171" t="s">
        <v>521</v>
      </c>
      <c r="D171" t="s">
        <v>243</v>
      </c>
      <c r="E171" t="s">
        <v>523</v>
      </c>
      <c r="F171" t="str">
        <f>"00370897"</f>
        <v>00370897</v>
      </c>
      <c r="G171" t="s">
        <v>29</v>
      </c>
      <c r="H171" t="s">
        <v>20</v>
      </c>
      <c r="I171">
        <v>1446</v>
      </c>
      <c r="J171" t="s">
        <v>21</v>
      </c>
      <c r="K171">
        <v>0</v>
      </c>
      <c r="L171" t="s">
        <v>35</v>
      </c>
      <c r="M171">
        <v>972</v>
      </c>
    </row>
    <row r="172" spans="1:13">
      <c r="A172">
        <v>166</v>
      </c>
      <c r="B172">
        <v>116112</v>
      </c>
      <c r="C172" t="s">
        <v>524</v>
      </c>
      <c r="D172" t="s">
        <v>525</v>
      </c>
      <c r="E172" t="s">
        <v>526</v>
      </c>
      <c r="F172" t="str">
        <f>"00423804"</f>
        <v>00423804</v>
      </c>
      <c r="G172" t="s">
        <v>527</v>
      </c>
      <c r="H172" t="s">
        <v>20</v>
      </c>
      <c r="I172">
        <v>1568</v>
      </c>
      <c r="J172" t="s">
        <v>21</v>
      </c>
      <c r="K172">
        <v>0</v>
      </c>
      <c r="L172" t="s">
        <v>35</v>
      </c>
      <c r="M172">
        <v>1000</v>
      </c>
    </row>
    <row r="173" spans="1:13">
      <c r="A173">
        <v>167</v>
      </c>
      <c r="B173">
        <v>79039</v>
      </c>
      <c r="C173" t="s">
        <v>528</v>
      </c>
      <c r="D173" t="s">
        <v>529</v>
      </c>
      <c r="E173" t="s">
        <v>530</v>
      </c>
      <c r="F173" t="str">
        <f>"00375525"</f>
        <v>00375525</v>
      </c>
      <c r="G173" t="s">
        <v>531</v>
      </c>
      <c r="H173" t="s">
        <v>20</v>
      </c>
      <c r="I173">
        <v>1445</v>
      </c>
      <c r="J173" t="s">
        <v>21</v>
      </c>
      <c r="K173">
        <v>0</v>
      </c>
      <c r="L173" t="s">
        <v>88</v>
      </c>
      <c r="M173">
        <v>1000</v>
      </c>
    </row>
    <row r="174" spans="1:13">
      <c r="A174">
        <v>168</v>
      </c>
      <c r="B174">
        <v>59474</v>
      </c>
      <c r="C174" t="s">
        <v>532</v>
      </c>
      <c r="D174" t="s">
        <v>180</v>
      </c>
      <c r="E174" t="s">
        <v>533</v>
      </c>
      <c r="F174" t="str">
        <f>"00253626"</f>
        <v>00253626</v>
      </c>
      <c r="G174" t="s">
        <v>534</v>
      </c>
      <c r="H174" t="s">
        <v>535</v>
      </c>
      <c r="I174">
        <v>1667</v>
      </c>
      <c r="J174" t="s">
        <v>21</v>
      </c>
      <c r="K174">
        <v>0</v>
      </c>
      <c r="M174">
        <v>1915</v>
      </c>
    </row>
    <row r="175" spans="1:13">
      <c r="A175">
        <v>169</v>
      </c>
      <c r="B175">
        <v>79126</v>
      </c>
      <c r="C175" t="s">
        <v>536</v>
      </c>
      <c r="D175" t="s">
        <v>180</v>
      </c>
      <c r="E175" t="s">
        <v>537</v>
      </c>
      <c r="F175" t="str">
        <f>"00374402"</f>
        <v>00374402</v>
      </c>
      <c r="G175" t="s">
        <v>178</v>
      </c>
      <c r="H175" t="s">
        <v>20</v>
      </c>
      <c r="I175">
        <v>1519</v>
      </c>
      <c r="J175" t="s">
        <v>21</v>
      </c>
      <c r="K175">
        <v>0</v>
      </c>
      <c r="M175">
        <v>1739</v>
      </c>
    </row>
    <row r="176" spans="1:13">
      <c r="A176">
        <v>170</v>
      </c>
      <c r="B176">
        <v>50404</v>
      </c>
      <c r="C176" t="s">
        <v>538</v>
      </c>
      <c r="D176" t="s">
        <v>209</v>
      </c>
      <c r="E176" t="s">
        <v>539</v>
      </c>
      <c r="F176" t="str">
        <f>"201511011533"</f>
        <v>201511011533</v>
      </c>
      <c r="G176" t="s">
        <v>540</v>
      </c>
      <c r="H176" t="s">
        <v>20</v>
      </c>
      <c r="I176">
        <v>1435</v>
      </c>
      <c r="J176" t="s">
        <v>21</v>
      </c>
      <c r="K176">
        <v>0</v>
      </c>
      <c r="L176" t="s">
        <v>35</v>
      </c>
      <c r="M176">
        <v>874</v>
      </c>
    </row>
    <row r="177" spans="1:13">
      <c r="A177">
        <v>171</v>
      </c>
      <c r="B177">
        <v>110925</v>
      </c>
      <c r="C177" t="s">
        <v>541</v>
      </c>
      <c r="D177" t="s">
        <v>218</v>
      </c>
      <c r="E177" t="s">
        <v>542</v>
      </c>
      <c r="F177" t="str">
        <f>"00415910"</f>
        <v>00415910</v>
      </c>
      <c r="G177" t="s">
        <v>150</v>
      </c>
      <c r="H177" t="s">
        <v>151</v>
      </c>
      <c r="I177">
        <v>1699</v>
      </c>
      <c r="J177" t="s">
        <v>21</v>
      </c>
      <c r="K177">
        <v>0</v>
      </c>
      <c r="M177">
        <v>1538</v>
      </c>
    </row>
    <row r="178" spans="1:13">
      <c r="A178">
        <v>172</v>
      </c>
      <c r="B178">
        <v>46034</v>
      </c>
      <c r="C178" t="s">
        <v>543</v>
      </c>
      <c r="D178" t="s">
        <v>198</v>
      </c>
      <c r="E178" t="s">
        <v>544</v>
      </c>
      <c r="F178" t="str">
        <f>"00241414"</f>
        <v>00241414</v>
      </c>
      <c r="G178" t="s">
        <v>47</v>
      </c>
      <c r="H178" t="s">
        <v>48</v>
      </c>
      <c r="I178">
        <v>1623</v>
      </c>
      <c r="J178" t="s">
        <v>21</v>
      </c>
      <c r="K178">
        <v>0</v>
      </c>
      <c r="L178" t="s">
        <v>83</v>
      </c>
      <c r="M178">
        <v>1282</v>
      </c>
    </row>
    <row r="179" spans="1:13">
      <c r="A179">
        <v>173</v>
      </c>
      <c r="B179">
        <v>84679</v>
      </c>
      <c r="C179" t="s">
        <v>545</v>
      </c>
      <c r="D179" t="s">
        <v>80</v>
      </c>
      <c r="E179" t="s">
        <v>546</v>
      </c>
      <c r="F179" t="str">
        <f>"201512001968"</f>
        <v>201512001968</v>
      </c>
      <c r="G179" t="s">
        <v>547</v>
      </c>
      <c r="H179" t="s">
        <v>274</v>
      </c>
      <c r="I179">
        <v>1384</v>
      </c>
      <c r="J179" t="s">
        <v>21</v>
      </c>
      <c r="K179">
        <v>6</v>
      </c>
      <c r="M179">
        <v>1197</v>
      </c>
    </row>
    <row r="180" spans="1:13">
      <c r="A180">
        <v>174</v>
      </c>
      <c r="B180">
        <v>105726</v>
      </c>
      <c r="C180" t="s">
        <v>548</v>
      </c>
      <c r="D180" t="s">
        <v>98</v>
      </c>
      <c r="E180" t="s">
        <v>549</v>
      </c>
      <c r="F180" t="str">
        <f>"00388410"</f>
        <v>00388410</v>
      </c>
      <c r="G180" t="s">
        <v>437</v>
      </c>
      <c r="H180" t="s">
        <v>20</v>
      </c>
      <c r="I180">
        <v>1407</v>
      </c>
      <c r="J180" t="s">
        <v>21</v>
      </c>
      <c r="K180">
        <v>0</v>
      </c>
      <c r="M180">
        <v>1455</v>
      </c>
    </row>
    <row r="181" spans="1:13">
      <c r="A181">
        <v>175</v>
      </c>
      <c r="B181">
        <v>70396</v>
      </c>
      <c r="C181" t="s">
        <v>550</v>
      </c>
      <c r="D181" t="s">
        <v>145</v>
      </c>
      <c r="E181" t="s">
        <v>551</v>
      </c>
      <c r="F181" t="str">
        <f>"00201380"</f>
        <v>00201380</v>
      </c>
      <c r="G181" t="s">
        <v>540</v>
      </c>
      <c r="H181" t="s">
        <v>20</v>
      </c>
      <c r="I181">
        <v>1435</v>
      </c>
      <c r="J181" t="s">
        <v>21</v>
      </c>
      <c r="K181">
        <v>0</v>
      </c>
      <c r="L181" t="s">
        <v>35</v>
      </c>
      <c r="M181">
        <v>883</v>
      </c>
    </row>
    <row r="182" spans="1:13">
      <c r="A182">
        <v>176</v>
      </c>
      <c r="B182">
        <v>50328</v>
      </c>
      <c r="C182" t="s">
        <v>552</v>
      </c>
      <c r="D182" t="s">
        <v>105</v>
      </c>
      <c r="E182" t="s">
        <v>553</v>
      </c>
      <c r="F182" t="str">
        <f>"00362292"</f>
        <v>00362292</v>
      </c>
      <c r="G182" t="s">
        <v>42</v>
      </c>
      <c r="H182" t="s">
        <v>43</v>
      </c>
      <c r="I182">
        <v>1712</v>
      </c>
      <c r="J182" t="s">
        <v>21</v>
      </c>
      <c r="K182">
        <v>0</v>
      </c>
      <c r="L182" t="s">
        <v>35</v>
      </c>
      <c r="M182">
        <v>1100</v>
      </c>
    </row>
    <row r="183" spans="1:13">
      <c r="A183">
        <v>177</v>
      </c>
      <c r="B183">
        <v>82246</v>
      </c>
      <c r="C183" t="s">
        <v>554</v>
      </c>
      <c r="D183" t="s">
        <v>163</v>
      </c>
      <c r="E183" t="s">
        <v>555</v>
      </c>
      <c r="F183" t="str">
        <f>"00393232"</f>
        <v>00393232</v>
      </c>
      <c r="G183" t="s">
        <v>365</v>
      </c>
      <c r="H183" t="s">
        <v>366</v>
      </c>
      <c r="I183">
        <v>1692</v>
      </c>
      <c r="J183" t="s">
        <v>21</v>
      </c>
      <c r="K183">
        <v>0</v>
      </c>
      <c r="L183" t="s">
        <v>83</v>
      </c>
      <c r="M183">
        <v>1228</v>
      </c>
    </row>
    <row r="184" spans="1:13">
      <c r="A184">
        <v>178</v>
      </c>
      <c r="B184">
        <v>83023</v>
      </c>
      <c r="C184" t="s">
        <v>556</v>
      </c>
      <c r="D184" t="s">
        <v>557</v>
      </c>
      <c r="E184" t="s">
        <v>558</v>
      </c>
      <c r="F184" t="str">
        <f>"200911000505"</f>
        <v>200911000505</v>
      </c>
      <c r="G184" t="s">
        <v>230</v>
      </c>
      <c r="H184" t="s">
        <v>20</v>
      </c>
      <c r="I184">
        <v>1545</v>
      </c>
      <c r="J184" t="s">
        <v>21</v>
      </c>
      <c r="K184">
        <v>0</v>
      </c>
      <c r="L184" t="s">
        <v>83</v>
      </c>
      <c r="M184">
        <v>1438</v>
      </c>
    </row>
    <row r="185" spans="1:13">
      <c r="A185">
        <v>179</v>
      </c>
      <c r="B185">
        <v>97741</v>
      </c>
      <c r="C185" t="s">
        <v>559</v>
      </c>
      <c r="D185" t="s">
        <v>105</v>
      </c>
      <c r="E185" t="s">
        <v>560</v>
      </c>
      <c r="F185" t="str">
        <f>"00150066"</f>
        <v>00150066</v>
      </c>
      <c r="G185" t="s">
        <v>561</v>
      </c>
      <c r="H185" t="s">
        <v>20</v>
      </c>
      <c r="I185">
        <v>1574</v>
      </c>
      <c r="J185" t="s">
        <v>21</v>
      </c>
      <c r="K185">
        <v>0</v>
      </c>
      <c r="L185" t="s">
        <v>35</v>
      </c>
      <c r="M185">
        <v>900</v>
      </c>
    </row>
    <row r="186" spans="1:13">
      <c r="A186">
        <v>180</v>
      </c>
      <c r="B186">
        <v>96844</v>
      </c>
      <c r="C186" t="s">
        <v>562</v>
      </c>
      <c r="D186" t="s">
        <v>563</v>
      </c>
      <c r="E186" t="s">
        <v>564</v>
      </c>
      <c r="F186" t="str">
        <f>"00389062"</f>
        <v>00389062</v>
      </c>
      <c r="G186" t="s">
        <v>100</v>
      </c>
      <c r="H186" t="s">
        <v>20</v>
      </c>
      <c r="I186">
        <v>1468</v>
      </c>
      <c r="J186" t="s">
        <v>21</v>
      </c>
      <c r="K186">
        <v>0</v>
      </c>
      <c r="L186" t="s">
        <v>35</v>
      </c>
      <c r="M186">
        <v>1108</v>
      </c>
    </row>
    <row r="187" spans="1:13">
      <c r="A187">
        <v>181</v>
      </c>
      <c r="B187">
        <v>74228</v>
      </c>
      <c r="C187" t="s">
        <v>565</v>
      </c>
      <c r="D187" t="s">
        <v>566</v>
      </c>
      <c r="E187" t="s">
        <v>567</v>
      </c>
      <c r="F187" t="str">
        <f>"00386534"</f>
        <v>00386534</v>
      </c>
      <c r="G187" t="s">
        <v>520</v>
      </c>
      <c r="H187" t="s">
        <v>20</v>
      </c>
      <c r="I187">
        <v>1540</v>
      </c>
      <c r="J187" t="s">
        <v>21</v>
      </c>
      <c r="K187">
        <v>0</v>
      </c>
      <c r="M187">
        <v>1528</v>
      </c>
    </row>
    <row r="188" spans="1:13">
      <c r="A188">
        <v>182</v>
      </c>
      <c r="B188">
        <v>93683</v>
      </c>
      <c r="C188" t="s">
        <v>568</v>
      </c>
      <c r="D188" t="s">
        <v>198</v>
      </c>
      <c r="E188" t="s">
        <v>569</v>
      </c>
      <c r="F188" t="str">
        <f>"00386135"</f>
        <v>00386135</v>
      </c>
      <c r="G188" t="s">
        <v>155</v>
      </c>
      <c r="H188" t="s">
        <v>156</v>
      </c>
      <c r="I188">
        <v>1342</v>
      </c>
      <c r="J188" t="s">
        <v>21</v>
      </c>
      <c r="K188">
        <v>0</v>
      </c>
      <c r="M188">
        <v>1528</v>
      </c>
    </row>
    <row r="189" spans="1:13">
      <c r="A189">
        <v>183</v>
      </c>
      <c r="B189">
        <v>95360</v>
      </c>
      <c r="C189" t="s">
        <v>570</v>
      </c>
      <c r="D189" t="s">
        <v>90</v>
      </c>
      <c r="E189" t="s">
        <v>571</v>
      </c>
      <c r="F189" t="str">
        <f>"201601000863"</f>
        <v>201601000863</v>
      </c>
      <c r="G189" t="s">
        <v>371</v>
      </c>
      <c r="H189" t="s">
        <v>20</v>
      </c>
      <c r="I189">
        <v>1526</v>
      </c>
      <c r="J189" t="s">
        <v>21</v>
      </c>
      <c r="K189">
        <v>6</v>
      </c>
      <c r="L189" t="s">
        <v>59</v>
      </c>
      <c r="M189">
        <v>385</v>
      </c>
    </row>
    <row r="190" spans="1:13">
      <c r="A190">
        <v>184</v>
      </c>
      <c r="B190">
        <v>95953</v>
      </c>
      <c r="C190" t="s">
        <v>572</v>
      </c>
      <c r="D190" t="s">
        <v>180</v>
      </c>
      <c r="E190" t="s">
        <v>573</v>
      </c>
      <c r="F190" t="str">
        <f>"00403427"</f>
        <v>00403427</v>
      </c>
      <c r="G190" t="s">
        <v>245</v>
      </c>
      <c r="H190" t="s">
        <v>20</v>
      </c>
      <c r="I190">
        <v>1406</v>
      </c>
      <c r="J190" t="s">
        <v>21</v>
      </c>
      <c r="K190">
        <v>0</v>
      </c>
      <c r="L190" t="s">
        <v>112</v>
      </c>
      <c r="M190">
        <v>858</v>
      </c>
    </row>
    <row r="191" spans="1:13">
      <c r="A191">
        <v>185</v>
      </c>
      <c r="B191">
        <v>85665</v>
      </c>
      <c r="C191" t="s">
        <v>574</v>
      </c>
      <c r="D191" t="s">
        <v>209</v>
      </c>
      <c r="E191" t="s">
        <v>575</v>
      </c>
      <c r="F191" t="str">
        <f>"00366247"</f>
        <v>00366247</v>
      </c>
      <c r="G191" t="s">
        <v>576</v>
      </c>
      <c r="H191" t="s">
        <v>535</v>
      </c>
      <c r="I191">
        <v>1666</v>
      </c>
      <c r="J191" t="s">
        <v>21</v>
      </c>
      <c r="K191">
        <v>6</v>
      </c>
      <c r="L191" t="s">
        <v>35</v>
      </c>
      <c r="M191">
        <v>908</v>
      </c>
    </row>
    <row r="192" spans="1:13">
      <c r="A192">
        <v>186</v>
      </c>
      <c r="B192">
        <v>58732</v>
      </c>
      <c r="C192" t="s">
        <v>577</v>
      </c>
      <c r="D192" t="s">
        <v>180</v>
      </c>
      <c r="E192" t="s">
        <v>578</v>
      </c>
      <c r="F192" t="str">
        <f>"00288489"</f>
        <v>00288489</v>
      </c>
      <c r="G192" t="s">
        <v>19</v>
      </c>
      <c r="H192" t="s">
        <v>20</v>
      </c>
      <c r="I192">
        <v>1531</v>
      </c>
      <c r="J192" t="s">
        <v>21</v>
      </c>
      <c r="K192">
        <v>0</v>
      </c>
      <c r="L192" t="s">
        <v>59</v>
      </c>
      <c r="M192">
        <v>1069</v>
      </c>
    </row>
    <row r="193" spans="1:13">
      <c r="A193">
        <v>187</v>
      </c>
      <c r="B193">
        <v>83207</v>
      </c>
      <c r="C193" t="s">
        <v>579</v>
      </c>
      <c r="D193" t="s">
        <v>198</v>
      </c>
      <c r="E193" t="s">
        <v>580</v>
      </c>
      <c r="F193" t="str">
        <f>"00378603"</f>
        <v>00378603</v>
      </c>
      <c r="G193" t="s">
        <v>446</v>
      </c>
      <c r="H193" t="s">
        <v>137</v>
      </c>
      <c r="I193">
        <v>1602</v>
      </c>
      <c r="J193" t="s">
        <v>21</v>
      </c>
      <c r="K193">
        <v>0</v>
      </c>
      <c r="L193" t="s">
        <v>88</v>
      </c>
      <c r="M193">
        <v>672</v>
      </c>
    </row>
    <row r="194" spans="1:13">
      <c r="A194">
        <v>188</v>
      </c>
      <c r="B194">
        <v>82411</v>
      </c>
      <c r="C194" t="s">
        <v>581</v>
      </c>
      <c r="D194" t="s">
        <v>121</v>
      </c>
      <c r="E194" t="s">
        <v>582</v>
      </c>
      <c r="F194" t="str">
        <f>"00253942"</f>
        <v>00253942</v>
      </c>
      <c r="G194" t="s">
        <v>583</v>
      </c>
      <c r="H194" t="s">
        <v>137</v>
      </c>
      <c r="I194">
        <v>1601</v>
      </c>
      <c r="J194" t="s">
        <v>21</v>
      </c>
      <c r="K194">
        <v>0</v>
      </c>
      <c r="M194">
        <v>1728</v>
      </c>
    </row>
    <row r="195" spans="1:13">
      <c r="A195">
        <v>189</v>
      </c>
      <c r="B195">
        <v>88949</v>
      </c>
      <c r="C195" t="s">
        <v>584</v>
      </c>
      <c r="D195" t="s">
        <v>121</v>
      </c>
      <c r="E195" t="s">
        <v>585</v>
      </c>
      <c r="F195" t="str">
        <f>"00196482"</f>
        <v>00196482</v>
      </c>
      <c r="G195" t="s">
        <v>47</v>
      </c>
      <c r="H195" t="s">
        <v>48</v>
      </c>
      <c r="I195">
        <v>1623</v>
      </c>
      <c r="J195" t="s">
        <v>21</v>
      </c>
      <c r="K195">
        <v>0</v>
      </c>
      <c r="M195">
        <v>1328</v>
      </c>
    </row>
    <row r="196" spans="1:13">
      <c r="A196">
        <v>190</v>
      </c>
      <c r="B196">
        <v>111053</v>
      </c>
      <c r="C196" t="s">
        <v>586</v>
      </c>
      <c r="D196" t="s">
        <v>180</v>
      </c>
      <c r="E196" t="s">
        <v>587</v>
      </c>
      <c r="F196" t="str">
        <f>"00282530"</f>
        <v>00282530</v>
      </c>
      <c r="G196" t="s">
        <v>47</v>
      </c>
      <c r="H196" t="s">
        <v>48</v>
      </c>
      <c r="I196">
        <v>1623</v>
      </c>
      <c r="J196" t="s">
        <v>21</v>
      </c>
      <c r="K196">
        <v>0</v>
      </c>
      <c r="L196" t="s">
        <v>35</v>
      </c>
      <c r="M196">
        <v>874</v>
      </c>
    </row>
    <row r="197" spans="1:13">
      <c r="A197">
        <v>191</v>
      </c>
      <c r="B197">
        <v>52562</v>
      </c>
      <c r="C197" t="s">
        <v>588</v>
      </c>
      <c r="D197" t="s">
        <v>566</v>
      </c>
      <c r="E197" t="s">
        <v>589</v>
      </c>
      <c r="F197" t="str">
        <f>"00365192"</f>
        <v>00365192</v>
      </c>
      <c r="G197" t="s">
        <v>590</v>
      </c>
      <c r="H197" t="s">
        <v>535</v>
      </c>
      <c r="I197">
        <v>1350</v>
      </c>
      <c r="J197" t="s">
        <v>21</v>
      </c>
      <c r="K197">
        <v>0</v>
      </c>
      <c r="L197" t="s">
        <v>35</v>
      </c>
      <c r="M197">
        <v>958</v>
      </c>
    </row>
    <row r="198" spans="1:13">
      <c r="A198">
        <v>192</v>
      </c>
      <c r="B198">
        <v>112533</v>
      </c>
      <c r="C198" t="s">
        <v>591</v>
      </c>
      <c r="D198" t="s">
        <v>105</v>
      </c>
      <c r="E198" t="s">
        <v>592</v>
      </c>
      <c r="F198" t="str">
        <f>"00388242"</f>
        <v>00388242</v>
      </c>
      <c r="G198" t="s">
        <v>593</v>
      </c>
      <c r="H198" t="s">
        <v>20</v>
      </c>
      <c r="I198">
        <v>1444</v>
      </c>
      <c r="J198" t="s">
        <v>21</v>
      </c>
      <c r="K198">
        <v>0</v>
      </c>
      <c r="L198" t="s">
        <v>35</v>
      </c>
      <c r="M198">
        <v>1151</v>
      </c>
    </row>
    <row r="199" spans="1:13">
      <c r="A199">
        <v>193</v>
      </c>
      <c r="B199">
        <v>83204</v>
      </c>
      <c r="C199" t="s">
        <v>594</v>
      </c>
      <c r="D199" t="s">
        <v>105</v>
      </c>
      <c r="E199" t="s">
        <v>595</v>
      </c>
      <c r="F199" t="str">
        <f>"00314850"</f>
        <v>00314850</v>
      </c>
      <c r="G199" t="s">
        <v>596</v>
      </c>
      <c r="H199" t="s">
        <v>20</v>
      </c>
      <c r="I199">
        <v>1562</v>
      </c>
      <c r="J199" t="s">
        <v>21</v>
      </c>
      <c r="K199">
        <v>6</v>
      </c>
      <c r="L199" t="s">
        <v>35</v>
      </c>
      <c r="M199">
        <v>908</v>
      </c>
    </row>
    <row r="200" spans="1:13">
      <c r="A200">
        <v>194</v>
      </c>
      <c r="B200">
        <v>50390</v>
      </c>
      <c r="C200" t="s">
        <v>597</v>
      </c>
      <c r="D200" t="s">
        <v>598</v>
      </c>
      <c r="E200" t="s">
        <v>599</v>
      </c>
      <c r="F200" t="str">
        <f>"200904000133"</f>
        <v>200904000133</v>
      </c>
      <c r="G200" t="s">
        <v>600</v>
      </c>
      <c r="H200" t="s">
        <v>366</v>
      </c>
      <c r="I200">
        <v>1694</v>
      </c>
      <c r="J200" t="s">
        <v>21</v>
      </c>
      <c r="K200">
        <v>0</v>
      </c>
      <c r="M200">
        <v>1348</v>
      </c>
    </row>
    <row r="201" spans="1:13">
      <c r="A201">
        <v>195</v>
      </c>
      <c r="B201">
        <v>68071</v>
      </c>
      <c r="C201" t="s">
        <v>601</v>
      </c>
      <c r="D201" t="s">
        <v>76</v>
      </c>
      <c r="E201" t="s">
        <v>602</v>
      </c>
      <c r="F201" t="str">
        <f>"00276377"</f>
        <v>00276377</v>
      </c>
      <c r="G201" t="s">
        <v>603</v>
      </c>
      <c r="H201" t="s">
        <v>20</v>
      </c>
      <c r="I201">
        <v>1464</v>
      </c>
      <c r="J201" t="s">
        <v>21</v>
      </c>
      <c r="K201">
        <v>0</v>
      </c>
      <c r="L201" t="s">
        <v>35</v>
      </c>
      <c r="M201">
        <v>989</v>
      </c>
    </row>
    <row r="202" spans="1:13">
      <c r="A202">
        <v>196</v>
      </c>
      <c r="B202">
        <v>105742</v>
      </c>
      <c r="C202" t="s">
        <v>604</v>
      </c>
      <c r="D202" t="s">
        <v>139</v>
      </c>
      <c r="E202" t="s">
        <v>605</v>
      </c>
      <c r="F202" t="str">
        <f>"00401075"</f>
        <v>00401075</v>
      </c>
      <c r="G202" t="s">
        <v>606</v>
      </c>
      <c r="H202" t="s">
        <v>607</v>
      </c>
      <c r="I202">
        <v>1343</v>
      </c>
      <c r="J202" t="s">
        <v>21</v>
      </c>
      <c r="K202">
        <v>0</v>
      </c>
      <c r="M202">
        <v>1474</v>
      </c>
    </row>
    <row r="203" spans="1:13">
      <c r="A203">
        <v>197</v>
      </c>
      <c r="B203">
        <v>94530</v>
      </c>
      <c r="C203" t="s">
        <v>608</v>
      </c>
      <c r="D203" t="s">
        <v>121</v>
      </c>
      <c r="E203" t="s">
        <v>609</v>
      </c>
      <c r="F203" t="str">
        <f>"00386896"</f>
        <v>00386896</v>
      </c>
      <c r="G203" t="s">
        <v>610</v>
      </c>
      <c r="H203" t="s">
        <v>20</v>
      </c>
      <c r="I203">
        <v>1429</v>
      </c>
      <c r="J203" t="s">
        <v>21</v>
      </c>
      <c r="K203">
        <v>0</v>
      </c>
      <c r="L203" t="s">
        <v>59</v>
      </c>
      <c r="M203">
        <v>911</v>
      </c>
    </row>
    <row r="204" spans="1:13">
      <c r="A204">
        <v>198</v>
      </c>
      <c r="B204">
        <v>114246</v>
      </c>
      <c r="C204" t="s">
        <v>611</v>
      </c>
      <c r="D204" t="s">
        <v>566</v>
      </c>
      <c r="E204" t="s">
        <v>612</v>
      </c>
      <c r="F204" t="str">
        <f>"00421814"</f>
        <v>00421814</v>
      </c>
      <c r="G204" t="s">
        <v>107</v>
      </c>
      <c r="H204" t="s">
        <v>20</v>
      </c>
      <c r="I204">
        <v>1472</v>
      </c>
      <c r="J204" t="s">
        <v>21</v>
      </c>
      <c r="K204">
        <v>0</v>
      </c>
      <c r="L204" t="s">
        <v>35</v>
      </c>
      <c r="M204">
        <v>957</v>
      </c>
    </row>
    <row r="205" spans="1:13">
      <c r="A205">
        <v>199</v>
      </c>
      <c r="B205">
        <v>82805</v>
      </c>
      <c r="C205" t="s">
        <v>613</v>
      </c>
      <c r="D205" t="s">
        <v>85</v>
      </c>
      <c r="E205" t="s">
        <v>614</v>
      </c>
      <c r="F205" t="str">
        <f>"00369182"</f>
        <v>00369182</v>
      </c>
      <c r="G205" t="s">
        <v>341</v>
      </c>
      <c r="H205" t="s">
        <v>20</v>
      </c>
      <c r="I205">
        <v>1553</v>
      </c>
      <c r="J205" t="s">
        <v>21</v>
      </c>
      <c r="K205">
        <v>6</v>
      </c>
      <c r="L205" t="s">
        <v>35</v>
      </c>
      <c r="M205">
        <v>906</v>
      </c>
    </row>
    <row r="206" spans="1:13">
      <c r="A206">
        <v>200</v>
      </c>
      <c r="B206">
        <v>63989</v>
      </c>
      <c r="C206" t="s">
        <v>615</v>
      </c>
      <c r="D206" t="s">
        <v>76</v>
      </c>
      <c r="E206" t="s">
        <v>616</v>
      </c>
      <c r="F206" t="str">
        <f>"201510001102"</f>
        <v>201510001102</v>
      </c>
      <c r="G206" t="s">
        <v>107</v>
      </c>
      <c r="H206" t="s">
        <v>20</v>
      </c>
      <c r="I206">
        <v>1472</v>
      </c>
      <c r="J206" t="s">
        <v>21</v>
      </c>
      <c r="K206">
        <v>0</v>
      </c>
      <c r="L206" t="s">
        <v>35</v>
      </c>
      <c r="M206">
        <v>908</v>
      </c>
    </row>
    <row r="207" spans="1:13">
      <c r="A207">
        <v>201</v>
      </c>
      <c r="B207">
        <v>58237</v>
      </c>
      <c r="C207" t="s">
        <v>617</v>
      </c>
      <c r="D207" t="s">
        <v>288</v>
      </c>
      <c r="E207" t="s">
        <v>618</v>
      </c>
      <c r="F207" t="str">
        <f>"201511005921"</f>
        <v>201511005921</v>
      </c>
      <c r="G207" t="s">
        <v>92</v>
      </c>
      <c r="H207" t="s">
        <v>20</v>
      </c>
      <c r="I207">
        <v>1425</v>
      </c>
      <c r="J207" t="s">
        <v>21</v>
      </c>
      <c r="K207">
        <v>0</v>
      </c>
      <c r="M207">
        <v>1668</v>
      </c>
    </row>
    <row r="208" spans="1:13">
      <c r="A208">
        <v>202</v>
      </c>
      <c r="B208">
        <v>94672</v>
      </c>
      <c r="C208" t="s">
        <v>619</v>
      </c>
      <c r="D208" t="s">
        <v>76</v>
      </c>
      <c r="E208" t="s">
        <v>620</v>
      </c>
      <c r="F208" t="str">
        <f>"00397931"</f>
        <v>00397931</v>
      </c>
      <c r="G208" t="s">
        <v>63</v>
      </c>
      <c r="H208" t="s">
        <v>20</v>
      </c>
      <c r="I208">
        <v>1576</v>
      </c>
      <c r="J208" t="s">
        <v>21</v>
      </c>
      <c r="K208">
        <v>0</v>
      </c>
      <c r="L208" t="s">
        <v>35</v>
      </c>
      <c r="M208">
        <v>1000</v>
      </c>
    </row>
    <row r="209" spans="1:13">
      <c r="A209">
        <v>203</v>
      </c>
      <c r="B209">
        <v>83489</v>
      </c>
      <c r="C209" t="s">
        <v>621</v>
      </c>
      <c r="D209" t="s">
        <v>98</v>
      </c>
      <c r="E209" t="s">
        <v>622</v>
      </c>
      <c r="F209" t="str">
        <f>"00375764"</f>
        <v>00375764</v>
      </c>
      <c r="G209" t="s">
        <v>38</v>
      </c>
      <c r="H209" t="s">
        <v>39</v>
      </c>
      <c r="I209">
        <v>1634</v>
      </c>
      <c r="J209" t="s">
        <v>21</v>
      </c>
      <c r="K209">
        <v>6</v>
      </c>
      <c r="L209" t="s">
        <v>35</v>
      </c>
      <c r="M209">
        <v>700</v>
      </c>
    </row>
    <row r="210" spans="1:13">
      <c r="A210">
        <v>204</v>
      </c>
      <c r="B210">
        <v>94535</v>
      </c>
      <c r="C210" t="s">
        <v>623</v>
      </c>
      <c r="D210" t="s">
        <v>624</v>
      </c>
      <c r="E210" t="s">
        <v>625</v>
      </c>
      <c r="F210" t="str">
        <f>"00363587"</f>
        <v>00363587</v>
      </c>
      <c r="G210" t="s">
        <v>626</v>
      </c>
      <c r="H210" t="s">
        <v>234</v>
      </c>
      <c r="I210">
        <v>1327</v>
      </c>
      <c r="J210" t="s">
        <v>21</v>
      </c>
      <c r="K210">
        <v>0</v>
      </c>
      <c r="L210" t="s">
        <v>83</v>
      </c>
      <c r="M210">
        <v>1528</v>
      </c>
    </row>
    <row r="211" spans="1:13">
      <c r="A211">
        <v>205</v>
      </c>
      <c r="B211">
        <v>88087</v>
      </c>
      <c r="C211" t="s">
        <v>627</v>
      </c>
      <c r="D211" t="s">
        <v>628</v>
      </c>
      <c r="E211" t="s">
        <v>629</v>
      </c>
      <c r="F211" t="str">
        <f>"201511006573"</f>
        <v>201511006573</v>
      </c>
      <c r="G211" t="s">
        <v>488</v>
      </c>
      <c r="H211" t="s">
        <v>20</v>
      </c>
      <c r="I211">
        <v>1482</v>
      </c>
      <c r="J211" t="s">
        <v>21</v>
      </c>
      <c r="K211">
        <v>0</v>
      </c>
      <c r="M211">
        <v>1378</v>
      </c>
    </row>
    <row r="212" spans="1:13">
      <c r="A212">
        <v>206</v>
      </c>
      <c r="B212">
        <v>74706</v>
      </c>
      <c r="C212" t="s">
        <v>630</v>
      </c>
      <c r="D212" t="s">
        <v>243</v>
      </c>
      <c r="E212" t="s">
        <v>631</v>
      </c>
      <c r="F212" t="str">
        <f>"00024536"</f>
        <v>00024536</v>
      </c>
      <c r="G212" t="s">
        <v>632</v>
      </c>
      <c r="H212" t="s">
        <v>20</v>
      </c>
      <c r="I212">
        <v>1461</v>
      </c>
      <c r="J212" t="s">
        <v>21</v>
      </c>
      <c r="K212">
        <v>0</v>
      </c>
      <c r="L212" t="s">
        <v>35</v>
      </c>
      <c r="M212">
        <v>1108</v>
      </c>
    </row>
    <row r="213" spans="1:13">
      <c r="A213">
        <v>207</v>
      </c>
      <c r="B213">
        <v>50126</v>
      </c>
      <c r="C213" t="s">
        <v>633</v>
      </c>
      <c r="D213" t="s">
        <v>80</v>
      </c>
      <c r="E213" t="s">
        <v>634</v>
      </c>
      <c r="F213" t="str">
        <f>"00372397"</f>
        <v>00372397</v>
      </c>
      <c r="G213" t="s">
        <v>24</v>
      </c>
      <c r="H213" t="s">
        <v>20</v>
      </c>
      <c r="I213">
        <v>1577</v>
      </c>
      <c r="J213" t="s">
        <v>21</v>
      </c>
      <c r="K213">
        <v>0</v>
      </c>
      <c r="L213" t="s">
        <v>112</v>
      </c>
      <c r="M213">
        <v>808</v>
      </c>
    </row>
    <row r="214" spans="1:13">
      <c r="A214">
        <v>208</v>
      </c>
      <c r="B214">
        <v>82366</v>
      </c>
      <c r="C214" t="s">
        <v>635</v>
      </c>
      <c r="D214" t="s">
        <v>109</v>
      </c>
      <c r="E214" t="s">
        <v>636</v>
      </c>
      <c r="F214" t="str">
        <f>"00402030"</f>
        <v>00402030</v>
      </c>
      <c r="G214" t="s">
        <v>82</v>
      </c>
      <c r="H214" t="s">
        <v>20</v>
      </c>
      <c r="I214">
        <v>1475</v>
      </c>
      <c r="J214" t="s">
        <v>21</v>
      </c>
      <c r="K214">
        <v>0</v>
      </c>
      <c r="L214" t="s">
        <v>35</v>
      </c>
      <c r="M214">
        <v>908</v>
      </c>
    </row>
    <row r="215" spans="1:13">
      <c r="A215">
        <v>209</v>
      </c>
      <c r="B215">
        <v>109923</v>
      </c>
      <c r="C215" t="s">
        <v>637</v>
      </c>
      <c r="D215" t="s">
        <v>180</v>
      </c>
      <c r="E215" t="s">
        <v>638</v>
      </c>
      <c r="F215" t="str">
        <f>"00416914"</f>
        <v>00416914</v>
      </c>
      <c r="G215" t="s">
        <v>639</v>
      </c>
      <c r="H215" t="s">
        <v>48</v>
      </c>
      <c r="I215">
        <v>1629</v>
      </c>
      <c r="J215" t="s">
        <v>21</v>
      </c>
      <c r="K215">
        <v>0</v>
      </c>
      <c r="L215" t="s">
        <v>59</v>
      </c>
      <c r="M215">
        <v>888</v>
      </c>
    </row>
    <row r="216" spans="1:13">
      <c r="A216">
        <v>210</v>
      </c>
      <c r="B216">
        <v>56887</v>
      </c>
      <c r="C216" t="s">
        <v>640</v>
      </c>
      <c r="D216" t="s">
        <v>153</v>
      </c>
      <c r="E216" t="s">
        <v>641</v>
      </c>
      <c r="F216" t="str">
        <f>"00371917"</f>
        <v>00371917</v>
      </c>
      <c r="G216" t="s">
        <v>47</v>
      </c>
      <c r="H216" t="s">
        <v>48</v>
      </c>
      <c r="I216">
        <v>1623</v>
      </c>
      <c r="J216" t="s">
        <v>21</v>
      </c>
      <c r="K216">
        <v>0</v>
      </c>
      <c r="L216" t="s">
        <v>88</v>
      </c>
      <c r="M216">
        <v>700</v>
      </c>
    </row>
    <row r="217" spans="1:13">
      <c r="A217">
        <v>211</v>
      </c>
      <c r="B217">
        <v>93073</v>
      </c>
      <c r="C217" t="s">
        <v>642</v>
      </c>
      <c r="D217" t="s">
        <v>121</v>
      </c>
      <c r="E217" t="s">
        <v>643</v>
      </c>
      <c r="F217" t="str">
        <f>"00228591"</f>
        <v>00228591</v>
      </c>
      <c r="G217" t="s">
        <v>96</v>
      </c>
      <c r="H217" t="s">
        <v>20</v>
      </c>
      <c r="I217">
        <v>1474</v>
      </c>
      <c r="J217" t="s">
        <v>21</v>
      </c>
      <c r="K217">
        <v>0</v>
      </c>
      <c r="L217" t="s">
        <v>35</v>
      </c>
      <c r="M217">
        <v>1035</v>
      </c>
    </row>
    <row r="218" spans="1:13">
      <c r="A218">
        <v>212</v>
      </c>
      <c r="B218">
        <v>95130</v>
      </c>
      <c r="C218" t="s">
        <v>644</v>
      </c>
      <c r="D218" t="s">
        <v>121</v>
      </c>
      <c r="E218" t="s">
        <v>645</v>
      </c>
      <c r="F218" t="str">
        <f>"00384302"</f>
        <v>00384302</v>
      </c>
      <c r="G218" t="s">
        <v>646</v>
      </c>
      <c r="H218" t="s">
        <v>234</v>
      </c>
      <c r="I218">
        <v>1333</v>
      </c>
      <c r="J218" t="s">
        <v>21</v>
      </c>
      <c r="K218">
        <v>6</v>
      </c>
      <c r="M218">
        <v>1737</v>
      </c>
    </row>
    <row r="219" spans="1:13">
      <c r="A219">
        <v>213</v>
      </c>
      <c r="B219">
        <v>54097</v>
      </c>
      <c r="C219" t="s">
        <v>647</v>
      </c>
      <c r="D219" t="s">
        <v>105</v>
      </c>
      <c r="E219" t="s">
        <v>648</v>
      </c>
      <c r="F219" t="str">
        <f>"00033113"</f>
        <v>00033113</v>
      </c>
      <c r="G219" t="s">
        <v>600</v>
      </c>
      <c r="H219" t="s">
        <v>366</v>
      </c>
      <c r="I219">
        <v>1694</v>
      </c>
      <c r="J219" t="s">
        <v>21</v>
      </c>
      <c r="K219">
        <v>0</v>
      </c>
      <c r="L219" t="s">
        <v>83</v>
      </c>
      <c r="M219">
        <v>1228</v>
      </c>
    </row>
    <row r="220" spans="1:13">
      <c r="A220">
        <v>214</v>
      </c>
      <c r="B220">
        <v>108292</v>
      </c>
      <c r="C220" t="s">
        <v>649</v>
      </c>
      <c r="D220" t="s">
        <v>209</v>
      </c>
      <c r="E220" t="s">
        <v>650</v>
      </c>
      <c r="F220" t="str">
        <f>"00416022"</f>
        <v>00416022</v>
      </c>
      <c r="G220" t="s">
        <v>405</v>
      </c>
      <c r="H220" t="s">
        <v>20</v>
      </c>
      <c r="I220">
        <v>1448</v>
      </c>
      <c r="J220" t="s">
        <v>21</v>
      </c>
      <c r="K220">
        <v>6</v>
      </c>
      <c r="M220">
        <v>1478</v>
      </c>
    </row>
    <row r="221" spans="1:13">
      <c r="A221">
        <v>215</v>
      </c>
      <c r="B221">
        <v>90911</v>
      </c>
      <c r="C221" t="s">
        <v>651</v>
      </c>
      <c r="D221" t="s">
        <v>102</v>
      </c>
      <c r="E221" t="s">
        <v>652</v>
      </c>
      <c r="F221" t="str">
        <f>"00146358"</f>
        <v>00146358</v>
      </c>
      <c r="G221" t="s">
        <v>653</v>
      </c>
      <c r="H221" t="s">
        <v>20</v>
      </c>
      <c r="I221">
        <v>1439</v>
      </c>
      <c r="J221" t="s">
        <v>21</v>
      </c>
      <c r="K221">
        <v>6</v>
      </c>
      <c r="M221">
        <v>1408</v>
      </c>
    </row>
    <row r="222" spans="1:13">
      <c r="A222">
        <v>216</v>
      </c>
      <c r="B222">
        <v>62373</v>
      </c>
      <c r="C222" t="s">
        <v>654</v>
      </c>
      <c r="D222" t="s">
        <v>655</v>
      </c>
      <c r="E222" t="s">
        <v>656</v>
      </c>
      <c r="F222" t="str">
        <f>"00266954"</f>
        <v>00266954</v>
      </c>
      <c r="G222" t="s">
        <v>240</v>
      </c>
      <c r="H222" t="s">
        <v>20</v>
      </c>
      <c r="I222">
        <v>1535</v>
      </c>
      <c r="J222" t="s">
        <v>21</v>
      </c>
      <c r="K222">
        <v>6</v>
      </c>
      <c r="L222" t="s">
        <v>88</v>
      </c>
      <c r="M222">
        <v>700</v>
      </c>
    </row>
    <row r="223" spans="1:13">
      <c r="A223">
        <v>217</v>
      </c>
      <c r="B223">
        <v>53770</v>
      </c>
      <c r="C223" t="s">
        <v>657</v>
      </c>
      <c r="D223" t="s">
        <v>180</v>
      </c>
      <c r="E223" t="s">
        <v>658</v>
      </c>
      <c r="F223" t="str">
        <f>"00355310"</f>
        <v>00355310</v>
      </c>
      <c r="G223" t="s">
        <v>215</v>
      </c>
      <c r="H223" t="s">
        <v>216</v>
      </c>
      <c r="I223">
        <v>1708</v>
      </c>
      <c r="J223" t="s">
        <v>21</v>
      </c>
      <c r="K223">
        <v>6</v>
      </c>
      <c r="M223">
        <v>1628</v>
      </c>
    </row>
    <row r="224" spans="1:13">
      <c r="A224">
        <v>218</v>
      </c>
      <c r="B224">
        <v>70187</v>
      </c>
      <c r="C224" t="s">
        <v>659</v>
      </c>
      <c r="D224" t="s">
        <v>660</v>
      </c>
      <c r="E224" t="s">
        <v>661</v>
      </c>
      <c r="F224" t="str">
        <f>"201507003882"</f>
        <v>201507003882</v>
      </c>
      <c r="G224" t="s">
        <v>107</v>
      </c>
      <c r="H224" t="s">
        <v>20</v>
      </c>
      <c r="I224">
        <v>1472</v>
      </c>
      <c r="J224" t="s">
        <v>21</v>
      </c>
      <c r="K224">
        <v>0</v>
      </c>
      <c r="M224">
        <v>1368</v>
      </c>
    </row>
    <row r="225" spans="1:13">
      <c r="A225">
        <v>219</v>
      </c>
      <c r="B225">
        <v>50810</v>
      </c>
      <c r="C225" t="s">
        <v>662</v>
      </c>
      <c r="D225" t="s">
        <v>228</v>
      </c>
      <c r="E225" t="s">
        <v>663</v>
      </c>
      <c r="F225" t="str">
        <f>"00224338"</f>
        <v>00224338</v>
      </c>
      <c r="G225" t="s">
        <v>284</v>
      </c>
      <c r="H225" t="s">
        <v>270</v>
      </c>
      <c r="I225">
        <v>1586</v>
      </c>
      <c r="J225" t="s">
        <v>21</v>
      </c>
      <c r="K225">
        <v>0</v>
      </c>
      <c r="M225">
        <v>1438</v>
      </c>
    </row>
    <row r="226" spans="1:13">
      <c r="A226">
        <v>220</v>
      </c>
      <c r="B226">
        <v>94465</v>
      </c>
      <c r="C226" t="s">
        <v>664</v>
      </c>
      <c r="D226" t="s">
        <v>90</v>
      </c>
      <c r="E226" t="s">
        <v>665</v>
      </c>
      <c r="F226" t="str">
        <f>"00396705"</f>
        <v>00396705</v>
      </c>
      <c r="G226" t="s">
        <v>325</v>
      </c>
      <c r="H226" t="s">
        <v>326</v>
      </c>
      <c r="I226">
        <v>1592</v>
      </c>
      <c r="J226" t="s">
        <v>21</v>
      </c>
      <c r="K226">
        <v>0</v>
      </c>
      <c r="L226" t="s">
        <v>35</v>
      </c>
      <c r="M226">
        <v>1108</v>
      </c>
    </row>
    <row r="227" spans="1:13">
      <c r="A227">
        <v>221</v>
      </c>
      <c r="B227">
        <v>64500</v>
      </c>
      <c r="C227" t="s">
        <v>666</v>
      </c>
      <c r="D227" t="s">
        <v>163</v>
      </c>
      <c r="E227" t="s">
        <v>667</v>
      </c>
      <c r="F227" t="str">
        <f>"00045207"</f>
        <v>00045207</v>
      </c>
      <c r="G227" t="s">
        <v>107</v>
      </c>
      <c r="H227" t="s">
        <v>20</v>
      </c>
      <c r="I227">
        <v>1472</v>
      </c>
      <c r="J227" t="s">
        <v>21</v>
      </c>
      <c r="K227">
        <v>0</v>
      </c>
      <c r="L227" t="s">
        <v>83</v>
      </c>
      <c r="M227">
        <v>1288</v>
      </c>
    </row>
    <row r="228" spans="1:13">
      <c r="A228">
        <v>222</v>
      </c>
      <c r="B228">
        <v>51116</v>
      </c>
      <c r="C228" t="s">
        <v>668</v>
      </c>
      <c r="D228" t="s">
        <v>660</v>
      </c>
      <c r="E228" t="s">
        <v>669</v>
      </c>
      <c r="F228" t="str">
        <f>"200912000036"</f>
        <v>200912000036</v>
      </c>
      <c r="G228" t="s">
        <v>107</v>
      </c>
      <c r="H228" t="s">
        <v>20</v>
      </c>
      <c r="I228">
        <v>1472</v>
      </c>
      <c r="J228" t="s">
        <v>21</v>
      </c>
      <c r="K228">
        <v>0</v>
      </c>
      <c r="L228" t="s">
        <v>35</v>
      </c>
      <c r="M228">
        <v>908</v>
      </c>
    </row>
    <row r="229" spans="1:13">
      <c r="A229">
        <v>223</v>
      </c>
      <c r="B229">
        <v>78343</v>
      </c>
      <c r="C229" t="s">
        <v>670</v>
      </c>
      <c r="D229" t="s">
        <v>209</v>
      </c>
      <c r="E229" t="s">
        <v>671</v>
      </c>
      <c r="F229" t="str">
        <f>"00401126"</f>
        <v>00401126</v>
      </c>
      <c r="G229" t="s">
        <v>371</v>
      </c>
      <c r="H229" t="s">
        <v>20</v>
      </c>
      <c r="I229">
        <v>1526</v>
      </c>
      <c r="J229" t="s">
        <v>21</v>
      </c>
      <c r="K229">
        <v>6</v>
      </c>
      <c r="M229">
        <v>1118</v>
      </c>
    </row>
    <row r="230" spans="1:13">
      <c r="A230">
        <v>224</v>
      </c>
      <c r="B230">
        <v>87615</v>
      </c>
      <c r="C230" t="s">
        <v>672</v>
      </c>
      <c r="D230" t="s">
        <v>105</v>
      </c>
      <c r="E230" t="s">
        <v>673</v>
      </c>
      <c r="F230" t="str">
        <f>"00415172"</f>
        <v>00415172</v>
      </c>
      <c r="G230" t="s">
        <v>307</v>
      </c>
      <c r="H230" t="s">
        <v>308</v>
      </c>
      <c r="I230">
        <v>1589</v>
      </c>
      <c r="J230" t="s">
        <v>21</v>
      </c>
      <c r="K230">
        <v>0</v>
      </c>
      <c r="L230" t="s">
        <v>35</v>
      </c>
      <c r="M230">
        <v>858</v>
      </c>
    </row>
    <row r="231" spans="1:13">
      <c r="A231">
        <v>225</v>
      </c>
      <c r="B231">
        <v>50386</v>
      </c>
      <c r="C231" t="s">
        <v>674</v>
      </c>
      <c r="D231" t="s">
        <v>80</v>
      </c>
      <c r="E231" t="s">
        <v>675</v>
      </c>
      <c r="F231" t="str">
        <f>"00374186"</f>
        <v>00374186</v>
      </c>
      <c r="G231" t="s">
        <v>676</v>
      </c>
      <c r="H231" t="s">
        <v>234</v>
      </c>
      <c r="I231">
        <v>1338</v>
      </c>
      <c r="J231" t="s">
        <v>21</v>
      </c>
      <c r="K231">
        <v>6</v>
      </c>
      <c r="L231" t="s">
        <v>35</v>
      </c>
      <c r="M231">
        <v>1141</v>
      </c>
    </row>
    <row r="232" spans="1:13">
      <c r="A232">
        <v>226</v>
      </c>
      <c r="B232">
        <v>112910</v>
      </c>
      <c r="C232" t="s">
        <v>677</v>
      </c>
      <c r="D232" t="s">
        <v>391</v>
      </c>
      <c r="E232" t="s">
        <v>678</v>
      </c>
      <c r="F232" t="str">
        <f>"00407899"</f>
        <v>00407899</v>
      </c>
      <c r="G232" t="s">
        <v>371</v>
      </c>
      <c r="H232" t="s">
        <v>20</v>
      </c>
      <c r="I232">
        <v>1526</v>
      </c>
      <c r="J232" t="s">
        <v>21</v>
      </c>
      <c r="K232">
        <v>6</v>
      </c>
      <c r="L232" t="s">
        <v>35</v>
      </c>
      <c r="M232">
        <v>458</v>
      </c>
    </row>
    <row r="233" spans="1:13">
      <c r="A233">
        <v>227</v>
      </c>
      <c r="B233">
        <v>83799</v>
      </c>
      <c r="C233" t="s">
        <v>679</v>
      </c>
      <c r="D233" t="s">
        <v>94</v>
      </c>
      <c r="E233" t="s">
        <v>680</v>
      </c>
      <c r="F233" t="str">
        <f>"00374519"</f>
        <v>00374519</v>
      </c>
      <c r="G233" t="s">
        <v>19</v>
      </c>
      <c r="H233" t="s">
        <v>20</v>
      </c>
      <c r="I233">
        <v>1531</v>
      </c>
      <c r="J233" t="s">
        <v>21</v>
      </c>
      <c r="K233">
        <v>0</v>
      </c>
      <c r="M233">
        <v>1750</v>
      </c>
    </row>
    <row r="234" spans="1:13">
      <c r="A234">
        <v>228</v>
      </c>
      <c r="B234">
        <v>68905</v>
      </c>
      <c r="C234" t="s">
        <v>681</v>
      </c>
      <c r="D234" t="s">
        <v>557</v>
      </c>
      <c r="E234" t="s">
        <v>682</v>
      </c>
      <c r="F234" t="str">
        <f>"00384053"</f>
        <v>00384053</v>
      </c>
      <c r="G234" t="s">
        <v>683</v>
      </c>
      <c r="H234" t="s">
        <v>535</v>
      </c>
      <c r="I234">
        <v>1670</v>
      </c>
      <c r="J234" t="s">
        <v>21</v>
      </c>
      <c r="K234">
        <v>0</v>
      </c>
      <c r="L234" t="s">
        <v>35</v>
      </c>
      <c r="M234">
        <v>900</v>
      </c>
    </row>
    <row r="235" spans="1:13">
      <c r="A235">
        <v>229</v>
      </c>
      <c r="B235">
        <v>81766</v>
      </c>
      <c r="C235" t="s">
        <v>684</v>
      </c>
      <c r="D235" t="s">
        <v>557</v>
      </c>
      <c r="E235" t="s">
        <v>685</v>
      </c>
      <c r="F235" t="str">
        <f>"00385707"</f>
        <v>00385707</v>
      </c>
      <c r="G235" t="s">
        <v>47</v>
      </c>
      <c r="H235" t="s">
        <v>48</v>
      </c>
      <c r="I235">
        <v>1623</v>
      </c>
      <c r="J235" t="s">
        <v>21</v>
      </c>
      <c r="K235">
        <v>0</v>
      </c>
      <c r="L235" t="s">
        <v>35</v>
      </c>
      <c r="M235">
        <v>1100</v>
      </c>
    </row>
    <row r="236" spans="1:13">
      <c r="A236">
        <v>230</v>
      </c>
      <c r="B236">
        <v>116853</v>
      </c>
      <c r="C236" t="s">
        <v>686</v>
      </c>
      <c r="D236" t="s">
        <v>80</v>
      </c>
      <c r="E236" t="s">
        <v>687</v>
      </c>
      <c r="F236" t="str">
        <f>"00416482"</f>
        <v>00416482</v>
      </c>
      <c r="G236" t="s">
        <v>233</v>
      </c>
      <c r="H236" t="s">
        <v>688</v>
      </c>
      <c r="I236">
        <v>1676</v>
      </c>
      <c r="J236" t="s">
        <v>21</v>
      </c>
      <c r="K236">
        <v>6</v>
      </c>
      <c r="M236">
        <v>997</v>
      </c>
    </row>
    <row r="237" spans="1:13">
      <c r="A237">
        <v>231</v>
      </c>
      <c r="B237">
        <v>109061</v>
      </c>
      <c r="C237" t="s">
        <v>689</v>
      </c>
      <c r="D237" t="s">
        <v>563</v>
      </c>
      <c r="E237" t="s">
        <v>690</v>
      </c>
      <c r="F237" t="str">
        <f>"00416101"</f>
        <v>00416101</v>
      </c>
      <c r="G237" t="s">
        <v>691</v>
      </c>
      <c r="H237" t="s">
        <v>241</v>
      </c>
      <c r="I237">
        <v>1360</v>
      </c>
      <c r="J237" t="s">
        <v>21</v>
      </c>
      <c r="K237">
        <v>0</v>
      </c>
      <c r="L237" t="s">
        <v>83</v>
      </c>
      <c r="M237">
        <v>1228</v>
      </c>
    </row>
    <row r="238" spans="1:13">
      <c r="A238">
        <v>232</v>
      </c>
      <c r="B238">
        <v>99951</v>
      </c>
      <c r="C238" t="s">
        <v>692</v>
      </c>
      <c r="D238" t="s">
        <v>121</v>
      </c>
      <c r="E238" t="s">
        <v>693</v>
      </c>
      <c r="F238" t="str">
        <f>"00254263"</f>
        <v>00254263</v>
      </c>
      <c r="G238" t="s">
        <v>371</v>
      </c>
      <c r="H238" t="s">
        <v>20</v>
      </c>
      <c r="I238">
        <v>1526</v>
      </c>
      <c r="J238" t="s">
        <v>21</v>
      </c>
      <c r="K238">
        <v>6</v>
      </c>
      <c r="L238" t="s">
        <v>59</v>
      </c>
      <c r="M238">
        <v>406</v>
      </c>
    </row>
    <row r="239" spans="1:13">
      <c r="A239">
        <v>233</v>
      </c>
      <c r="B239">
        <v>59179</v>
      </c>
      <c r="C239" t="s">
        <v>694</v>
      </c>
      <c r="D239" t="s">
        <v>105</v>
      </c>
      <c r="E239" t="s">
        <v>695</v>
      </c>
      <c r="F239" t="str">
        <f>"201502002690"</f>
        <v>201502002690</v>
      </c>
      <c r="G239" t="s">
        <v>696</v>
      </c>
      <c r="H239" t="s">
        <v>20</v>
      </c>
      <c r="I239">
        <v>1520</v>
      </c>
      <c r="J239" t="s">
        <v>21</v>
      </c>
      <c r="K239">
        <v>0</v>
      </c>
      <c r="M239">
        <v>1378</v>
      </c>
    </row>
    <row r="240" spans="1:13">
      <c r="A240">
        <v>234</v>
      </c>
      <c r="B240">
        <v>59830</v>
      </c>
      <c r="C240" t="s">
        <v>697</v>
      </c>
      <c r="D240" t="s">
        <v>105</v>
      </c>
      <c r="E240" t="s">
        <v>698</v>
      </c>
      <c r="F240" t="str">
        <f>"00203668"</f>
        <v>00203668</v>
      </c>
      <c r="G240" t="s">
        <v>111</v>
      </c>
      <c r="H240" t="s">
        <v>48</v>
      </c>
      <c r="I240">
        <v>1620</v>
      </c>
      <c r="J240" t="s">
        <v>21</v>
      </c>
      <c r="K240">
        <v>0</v>
      </c>
      <c r="L240" t="s">
        <v>35</v>
      </c>
      <c r="M240">
        <v>1300</v>
      </c>
    </row>
    <row r="241" spans="1:13">
      <c r="A241">
        <v>235</v>
      </c>
      <c r="B241">
        <v>67150</v>
      </c>
      <c r="C241" t="s">
        <v>699</v>
      </c>
      <c r="D241" t="s">
        <v>700</v>
      </c>
      <c r="E241" t="s">
        <v>701</v>
      </c>
      <c r="F241" t="str">
        <f>"00306610"</f>
        <v>00306610</v>
      </c>
      <c r="G241" t="s">
        <v>190</v>
      </c>
      <c r="H241" t="s">
        <v>191</v>
      </c>
      <c r="I241">
        <v>1618</v>
      </c>
      <c r="J241" t="s">
        <v>21</v>
      </c>
      <c r="K241">
        <v>0</v>
      </c>
      <c r="M241">
        <v>1428</v>
      </c>
    </row>
    <row r="242" spans="1:13">
      <c r="A242">
        <v>236</v>
      </c>
      <c r="B242">
        <v>64409</v>
      </c>
      <c r="C242" t="s">
        <v>702</v>
      </c>
      <c r="D242" t="s">
        <v>105</v>
      </c>
      <c r="E242" t="s">
        <v>703</v>
      </c>
      <c r="F242" t="str">
        <f>"00362407"</f>
        <v>00362407</v>
      </c>
      <c r="G242" t="s">
        <v>704</v>
      </c>
      <c r="H242" t="s">
        <v>308</v>
      </c>
      <c r="I242">
        <v>1590</v>
      </c>
      <c r="J242" t="s">
        <v>21</v>
      </c>
      <c r="K242">
        <v>6</v>
      </c>
      <c r="M242">
        <v>1468</v>
      </c>
    </row>
    <row r="243" spans="1:13">
      <c r="A243">
        <v>237</v>
      </c>
      <c r="B243">
        <v>49247</v>
      </c>
      <c r="C243" t="s">
        <v>705</v>
      </c>
      <c r="D243" t="s">
        <v>145</v>
      </c>
      <c r="E243" t="s">
        <v>706</v>
      </c>
      <c r="F243" t="str">
        <f>"00371187"</f>
        <v>00371187</v>
      </c>
      <c r="G243" t="s">
        <v>111</v>
      </c>
      <c r="H243" t="s">
        <v>48</v>
      </c>
      <c r="I243">
        <v>1620</v>
      </c>
      <c r="J243" t="s">
        <v>21</v>
      </c>
      <c r="K243">
        <v>0</v>
      </c>
      <c r="L243" t="s">
        <v>83</v>
      </c>
      <c r="M243">
        <v>1228</v>
      </c>
    </row>
    <row r="244" spans="1:13">
      <c r="A244">
        <v>238</v>
      </c>
      <c r="B244">
        <v>98957</v>
      </c>
      <c r="C244" t="s">
        <v>707</v>
      </c>
      <c r="D244" t="s">
        <v>94</v>
      </c>
      <c r="E244" t="s">
        <v>708</v>
      </c>
      <c r="F244" t="str">
        <f>"201511011827"</f>
        <v>201511011827</v>
      </c>
      <c r="G244" t="s">
        <v>709</v>
      </c>
      <c r="H244" t="s">
        <v>20</v>
      </c>
      <c r="I244">
        <v>1413</v>
      </c>
      <c r="J244" t="s">
        <v>21</v>
      </c>
      <c r="K244">
        <v>0</v>
      </c>
      <c r="M244">
        <v>1468</v>
      </c>
    </row>
    <row r="245" spans="1:13">
      <c r="A245">
        <v>239</v>
      </c>
      <c r="B245">
        <v>61840</v>
      </c>
      <c r="C245" t="s">
        <v>710</v>
      </c>
      <c r="D245" t="s">
        <v>711</v>
      </c>
      <c r="E245" t="s">
        <v>712</v>
      </c>
      <c r="F245" t="str">
        <f>"00160540"</f>
        <v>00160540</v>
      </c>
      <c r="G245" t="s">
        <v>713</v>
      </c>
      <c r="H245" t="s">
        <v>366</v>
      </c>
      <c r="I245">
        <v>1690</v>
      </c>
      <c r="J245" t="s">
        <v>21</v>
      </c>
      <c r="K245">
        <v>0</v>
      </c>
      <c r="L245" t="s">
        <v>59</v>
      </c>
      <c r="M245">
        <v>1228</v>
      </c>
    </row>
    <row r="246" spans="1:13">
      <c r="A246">
        <v>240</v>
      </c>
      <c r="B246">
        <v>81441</v>
      </c>
      <c r="C246" t="s">
        <v>714</v>
      </c>
      <c r="D246" t="s">
        <v>153</v>
      </c>
      <c r="E246" t="s">
        <v>715</v>
      </c>
      <c r="F246" t="str">
        <f>"201511016785"</f>
        <v>201511016785</v>
      </c>
      <c r="G246" t="s">
        <v>713</v>
      </c>
      <c r="H246" t="s">
        <v>366</v>
      </c>
      <c r="I246">
        <v>1690</v>
      </c>
      <c r="J246" t="s">
        <v>21</v>
      </c>
      <c r="K246">
        <v>0</v>
      </c>
      <c r="M246">
        <v>1560</v>
      </c>
    </row>
    <row r="247" spans="1:13">
      <c r="A247">
        <v>241</v>
      </c>
      <c r="B247">
        <v>55737</v>
      </c>
      <c r="C247" t="s">
        <v>716</v>
      </c>
      <c r="D247" t="s">
        <v>163</v>
      </c>
      <c r="E247" t="s">
        <v>717</v>
      </c>
      <c r="F247" t="str">
        <f>"00365673"</f>
        <v>00365673</v>
      </c>
      <c r="G247" t="s">
        <v>718</v>
      </c>
      <c r="H247" t="s">
        <v>48</v>
      </c>
      <c r="I247">
        <v>1625</v>
      </c>
      <c r="J247" t="s">
        <v>21</v>
      </c>
      <c r="K247">
        <v>0</v>
      </c>
      <c r="M247">
        <v>1788</v>
      </c>
    </row>
    <row r="248" spans="1:13">
      <c r="A248">
        <v>242</v>
      </c>
      <c r="B248">
        <v>78004</v>
      </c>
      <c r="C248" t="s">
        <v>719</v>
      </c>
      <c r="D248" t="s">
        <v>218</v>
      </c>
      <c r="E248" t="s">
        <v>720</v>
      </c>
      <c r="F248" t="str">
        <f>"00385769"</f>
        <v>00385769</v>
      </c>
      <c r="G248" t="s">
        <v>721</v>
      </c>
      <c r="H248" t="s">
        <v>20</v>
      </c>
      <c r="I248">
        <v>1575</v>
      </c>
      <c r="J248" t="s">
        <v>21</v>
      </c>
      <c r="K248">
        <v>0</v>
      </c>
      <c r="L248" t="s">
        <v>35</v>
      </c>
      <c r="M248">
        <v>868</v>
      </c>
    </row>
    <row r="249" spans="1:13">
      <c r="A249">
        <v>243</v>
      </c>
      <c r="B249">
        <v>46162</v>
      </c>
      <c r="C249" t="s">
        <v>722</v>
      </c>
      <c r="D249" t="s">
        <v>76</v>
      </c>
      <c r="E249" t="s">
        <v>723</v>
      </c>
      <c r="F249" t="str">
        <f>"00314574"</f>
        <v>00314574</v>
      </c>
      <c r="G249" t="s">
        <v>724</v>
      </c>
      <c r="H249" t="s">
        <v>20</v>
      </c>
      <c r="I249">
        <v>1411</v>
      </c>
      <c r="J249" t="s">
        <v>21</v>
      </c>
      <c r="K249">
        <v>0</v>
      </c>
      <c r="M249">
        <v>1338</v>
      </c>
    </row>
    <row r="250" spans="1:13">
      <c r="A250">
        <v>244</v>
      </c>
      <c r="B250">
        <v>68581</v>
      </c>
      <c r="C250" t="s">
        <v>725</v>
      </c>
      <c r="D250" t="s">
        <v>726</v>
      </c>
      <c r="E250" t="s">
        <v>727</v>
      </c>
      <c r="F250" t="str">
        <f>"00348877"</f>
        <v>00348877</v>
      </c>
      <c r="G250" t="s">
        <v>728</v>
      </c>
      <c r="H250" t="s">
        <v>20</v>
      </c>
      <c r="I250">
        <v>1551</v>
      </c>
      <c r="J250" t="s">
        <v>21</v>
      </c>
      <c r="K250">
        <v>6</v>
      </c>
      <c r="M250">
        <v>1232</v>
      </c>
    </row>
    <row r="251" spans="1:13">
      <c r="A251">
        <v>245</v>
      </c>
      <c r="B251">
        <v>62907</v>
      </c>
      <c r="C251" t="s">
        <v>729</v>
      </c>
      <c r="D251" t="s">
        <v>80</v>
      </c>
      <c r="E251" t="s">
        <v>730</v>
      </c>
      <c r="F251" t="str">
        <f>"00294055"</f>
        <v>00294055</v>
      </c>
      <c r="G251" t="s">
        <v>47</v>
      </c>
      <c r="H251" t="s">
        <v>48</v>
      </c>
      <c r="I251">
        <v>1623</v>
      </c>
      <c r="J251" t="s">
        <v>21</v>
      </c>
      <c r="K251">
        <v>0</v>
      </c>
      <c r="L251" t="s">
        <v>112</v>
      </c>
      <c r="M251">
        <v>783</v>
      </c>
    </row>
    <row r="252" spans="1:13">
      <c r="A252">
        <v>246</v>
      </c>
      <c r="B252">
        <v>74200</v>
      </c>
      <c r="C252" t="s">
        <v>731</v>
      </c>
      <c r="D252" t="s">
        <v>180</v>
      </c>
      <c r="E252" t="s">
        <v>732</v>
      </c>
      <c r="F252" t="str">
        <f>"201511005628"</f>
        <v>201511005628</v>
      </c>
      <c r="G252" t="s">
        <v>733</v>
      </c>
      <c r="H252" t="s">
        <v>734</v>
      </c>
      <c r="I252">
        <v>1596</v>
      </c>
      <c r="J252" t="s">
        <v>21</v>
      </c>
      <c r="K252">
        <v>0</v>
      </c>
      <c r="L252" t="s">
        <v>83</v>
      </c>
      <c r="M252">
        <v>1300</v>
      </c>
    </row>
    <row r="253" spans="1:13">
      <c r="A253">
        <v>247</v>
      </c>
      <c r="B253">
        <v>115943</v>
      </c>
      <c r="C253" t="s">
        <v>735</v>
      </c>
      <c r="D253" t="s">
        <v>213</v>
      </c>
      <c r="E253" t="s">
        <v>736</v>
      </c>
      <c r="F253" t="str">
        <f>"00022904"</f>
        <v>00022904</v>
      </c>
      <c r="G253" t="s">
        <v>737</v>
      </c>
      <c r="H253" t="s">
        <v>738</v>
      </c>
      <c r="I253">
        <v>1645</v>
      </c>
      <c r="J253" t="s">
        <v>21</v>
      </c>
      <c r="K253">
        <v>6</v>
      </c>
      <c r="M253">
        <v>1148</v>
      </c>
    </row>
    <row r="254" spans="1:13">
      <c r="A254">
        <v>248</v>
      </c>
      <c r="B254">
        <v>63737</v>
      </c>
      <c r="C254" t="s">
        <v>739</v>
      </c>
      <c r="D254" t="s">
        <v>243</v>
      </c>
      <c r="E254" t="s">
        <v>740</v>
      </c>
      <c r="F254" t="str">
        <f>"201510000448"</f>
        <v>201510000448</v>
      </c>
      <c r="G254" t="s">
        <v>19</v>
      </c>
      <c r="H254" t="s">
        <v>20</v>
      </c>
      <c r="I254">
        <v>1531</v>
      </c>
      <c r="J254" t="s">
        <v>21</v>
      </c>
      <c r="K254">
        <v>0</v>
      </c>
      <c r="L254" t="s">
        <v>35</v>
      </c>
      <c r="M254">
        <v>891</v>
      </c>
    </row>
    <row r="255" spans="1:13">
      <c r="A255">
        <v>249</v>
      </c>
      <c r="B255">
        <v>97694</v>
      </c>
      <c r="C255" t="s">
        <v>741</v>
      </c>
      <c r="D255" t="s">
        <v>80</v>
      </c>
      <c r="E255" t="s">
        <v>742</v>
      </c>
      <c r="F255" t="str">
        <f>"00366492"</f>
        <v>00366492</v>
      </c>
      <c r="G255" t="s">
        <v>87</v>
      </c>
      <c r="H255" t="s">
        <v>20</v>
      </c>
      <c r="I255">
        <v>1436</v>
      </c>
      <c r="J255" t="s">
        <v>21</v>
      </c>
      <c r="K255">
        <v>0</v>
      </c>
      <c r="L255" t="s">
        <v>59</v>
      </c>
      <c r="M255">
        <v>906</v>
      </c>
    </row>
    <row r="256" spans="1:13">
      <c r="A256">
        <v>250</v>
      </c>
      <c r="B256">
        <v>96512</v>
      </c>
      <c r="C256" t="s">
        <v>743</v>
      </c>
      <c r="D256" t="s">
        <v>180</v>
      </c>
      <c r="E256" t="s">
        <v>744</v>
      </c>
      <c r="F256" t="str">
        <f>"00222501"</f>
        <v>00222501</v>
      </c>
      <c r="G256" t="s">
        <v>107</v>
      </c>
      <c r="H256" t="s">
        <v>20</v>
      </c>
      <c r="I256">
        <v>1472</v>
      </c>
      <c r="J256" t="s">
        <v>21</v>
      </c>
      <c r="K256">
        <v>0</v>
      </c>
      <c r="M256">
        <v>1428</v>
      </c>
    </row>
    <row r="257" spans="1:13">
      <c r="A257">
        <v>251</v>
      </c>
      <c r="B257">
        <v>90522</v>
      </c>
      <c r="C257" t="s">
        <v>745</v>
      </c>
      <c r="D257" t="s">
        <v>243</v>
      </c>
      <c r="E257" t="s">
        <v>746</v>
      </c>
      <c r="F257" t="str">
        <f>"201509000353"</f>
        <v>201509000353</v>
      </c>
      <c r="G257" t="s">
        <v>150</v>
      </c>
      <c r="H257" t="s">
        <v>151</v>
      </c>
      <c r="I257">
        <v>1699</v>
      </c>
      <c r="J257" t="s">
        <v>21</v>
      </c>
      <c r="K257">
        <v>0</v>
      </c>
      <c r="M257">
        <v>1338</v>
      </c>
    </row>
    <row r="258" spans="1:13">
      <c r="A258">
        <v>252</v>
      </c>
      <c r="B258">
        <v>75368</v>
      </c>
      <c r="C258" t="s">
        <v>747</v>
      </c>
      <c r="D258" t="s">
        <v>117</v>
      </c>
      <c r="E258" t="s">
        <v>748</v>
      </c>
      <c r="F258" t="str">
        <f>"00394951"</f>
        <v>00394951</v>
      </c>
      <c r="G258" t="s">
        <v>358</v>
      </c>
      <c r="H258" t="s">
        <v>20</v>
      </c>
      <c r="I258">
        <v>1549</v>
      </c>
      <c r="J258" t="s">
        <v>21</v>
      </c>
      <c r="K258">
        <v>0</v>
      </c>
      <c r="L258" t="s">
        <v>112</v>
      </c>
      <c r="M258">
        <v>808</v>
      </c>
    </row>
    <row r="259" spans="1:13">
      <c r="A259">
        <v>253</v>
      </c>
      <c r="B259">
        <v>116392</v>
      </c>
      <c r="C259" t="s">
        <v>749</v>
      </c>
      <c r="D259" t="s">
        <v>105</v>
      </c>
      <c r="E259" t="s">
        <v>750</v>
      </c>
      <c r="F259" t="str">
        <f>"00417345"</f>
        <v>00417345</v>
      </c>
      <c r="G259" t="s">
        <v>233</v>
      </c>
      <c r="H259" t="s">
        <v>751</v>
      </c>
      <c r="I259">
        <v>1323</v>
      </c>
      <c r="J259" t="s">
        <v>21</v>
      </c>
      <c r="K259">
        <v>6</v>
      </c>
      <c r="M259">
        <v>1418</v>
      </c>
    </row>
    <row r="260" spans="1:13">
      <c r="A260">
        <v>254</v>
      </c>
      <c r="B260">
        <v>111153</v>
      </c>
      <c r="C260" t="s">
        <v>752</v>
      </c>
      <c r="D260" t="s">
        <v>288</v>
      </c>
      <c r="E260" t="s">
        <v>753</v>
      </c>
      <c r="F260" t="str">
        <f>"00286567"</f>
        <v>00286567</v>
      </c>
      <c r="G260" t="s">
        <v>754</v>
      </c>
      <c r="H260" t="s">
        <v>20</v>
      </c>
      <c r="I260">
        <v>1525</v>
      </c>
      <c r="J260" t="s">
        <v>21</v>
      </c>
      <c r="K260">
        <v>6</v>
      </c>
      <c r="L260" t="s">
        <v>35</v>
      </c>
      <c r="M260">
        <v>650</v>
      </c>
    </row>
    <row r="261" spans="1:13">
      <c r="A261">
        <v>255</v>
      </c>
      <c r="B261">
        <v>88947</v>
      </c>
      <c r="C261" t="s">
        <v>755</v>
      </c>
      <c r="D261" t="s">
        <v>756</v>
      </c>
      <c r="E261" t="s">
        <v>757</v>
      </c>
      <c r="F261" t="str">
        <f>"00402749"</f>
        <v>00402749</v>
      </c>
      <c r="G261" t="s">
        <v>240</v>
      </c>
      <c r="H261" t="s">
        <v>20</v>
      </c>
      <c r="I261">
        <v>1535</v>
      </c>
      <c r="J261" t="s">
        <v>21</v>
      </c>
      <c r="K261">
        <v>6</v>
      </c>
      <c r="M261">
        <v>1678</v>
      </c>
    </row>
    <row r="262" spans="1:13">
      <c r="A262">
        <v>256</v>
      </c>
      <c r="B262">
        <v>93735</v>
      </c>
      <c r="C262" t="s">
        <v>758</v>
      </c>
      <c r="D262" t="s">
        <v>145</v>
      </c>
      <c r="E262" t="s">
        <v>759</v>
      </c>
      <c r="F262" t="str">
        <f>"00394958"</f>
        <v>00394958</v>
      </c>
      <c r="G262" t="s">
        <v>760</v>
      </c>
      <c r="H262" t="s">
        <v>20</v>
      </c>
      <c r="I262">
        <v>1432</v>
      </c>
      <c r="J262" t="s">
        <v>21</v>
      </c>
      <c r="K262">
        <v>0</v>
      </c>
      <c r="L262" t="s">
        <v>35</v>
      </c>
      <c r="M262">
        <v>1117</v>
      </c>
    </row>
    <row r="263" spans="1:13">
      <c r="A263">
        <v>257</v>
      </c>
      <c r="B263">
        <v>73756</v>
      </c>
      <c r="C263" t="s">
        <v>761</v>
      </c>
      <c r="D263" t="s">
        <v>145</v>
      </c>
      <c r="E263" t="s">
        <v>762</v>
      </c>
      <c r="F263" t="str">
        <f>"00394987"</f>
        <v>00394987</v>
      </c>
      <c r="G263" t="s">
        <v>763</v>
      </c>
      <c r="H263" t="s">
        <v>20</v>
      </c>
      <c r="I263">
        <v>1430</v>
      </c>
      <c r="J263" t="s">
        <v>21</v>
      </c>
      <c r="K263">
        <v>0</v>
      </c>
      <c r="M263">
        <v>1425</v>
      </c>
    </row>
    <row r="264" spans="1:13">
      <c r="A264">
        <v>258</v>
      </c>
      <c r="B264">
        <v>98142</v>
      </c>
      <c r="C264" t="s">
        <v>764</v>
      </c>
      <c r="D264" t="s">
        <v>218</v>
      </c>
      <c r="E264" t="s">
        <v>765</v>
      </c>
      <c r="F264" t="str">
        <f>"00378549"</f>
        <v>00378549</v>
      </c>
      <c r="G264" t="s">
        <v>167</v>
      </c>
      <c r="H264" t="s">
        <v>20</v>
      </c>
      <c r="I264">
        <v>1486</v>
      </c>
      <c r="J264" t="s">
        <v>21</v>
      </c>
      <c r="K264">
        <v>0</v>
      </c>
      <c r="L264" t="s">
        <v>88</v>
      </c>
      <c r="M264">
        <v>985</v>
      </c>
    </row>
    <row r="265" spans="1:13">
      <c r="A265">
        <v>259</v>
      </c>
      <c r="B265">
        <v>61897</v>
      </c>
      <c r="C265" t="s">
        <v>766</v>
      </c>
      <c r="D265" t="s">
        <v>76</v>
      </c>
      <c r="E265" t="s">
        <v>767</v>
      </c>
      <c r="F265" t="str">
        <f>"00336563"</f>
        <v>00336563</v>
      </c>
      <c r="G265" t="s">
        <v>437</v>
      </c>
      <c r="H265" t="s">
        <v>20</v>
      </c>
      <c r="I265">
        <v>1407</v>
      </c>
      <c r="J265" t="s">
        <v>21</v>
      </c>
      <c r="K265">
        <v>0</v>
      </c>
      <c r="M265">
        <v>1678</v>
      </c>
    </row>
    <row r="266" spans="1:13">
      <c r="A266">
        <v>260</v>
      </c>
      <c r="B266">
        <v>50536</v>
      </c>
      <c r="C266" t="s">
        <v>768</v>
      </c>
      <c r="D266" t="s">
        <v>243</v>
      </c>
      <c r="E266" t="s">
        <v>769</v>
      </c>
      <c r="F266" t="str">
        <f>"00251639"</f>
        <v>00251639</v>
      </c>
      <c r="G266" t="s">
        <v>178</v>
      </c>
      <c r="H266" t="s">
        <v>20</v>
      </c>
      <c r="I266">
        <v>1519</v>
      </c>
      <c r="J266" t="s">
        <v>21</v>
      </c>
      <c r="K266">
        <v>0</v>
      </c>
      <c r="M266">
        <v>1711</v>
      </c>
    </row>
    <row r="267" spans="1:13">
      <c r="A267">
        <v>261</v>
      </c>
      <c r="B267">
        <v>54309</v>
      </c>
      <c r="C267" t="s">
        <v>770</v>
      </c>
      <c r="D267" t="s">
        <v>76</v>
      </c>
      <c r="E267" t="s">
        <v>771</v>
      </c>
      <c r="F267" t="str">
        <f>"00025906"</f>
        <v>00025906</v>
      </c>
      <c r="G267" t="s">
        <v>19</v>
      </c>
      <c r="H267" t="s">
        <v>20</v>
      </c>
      <c r="I267">
        <v>1531</v>
      </c>
      <c r="J267" t="s">
        <v>21</v>
      </c>
      <c r="K267">
        <v>0</v>
      </c>
      <c r="M267">
        <v>1338</v>
      </c>
    </row>
    <row r="268" spans="1:13">
      <c r="A268">
        <v>262</v>
      </c>
      <c r="B268">
        <v>73532</v>
      </c>
      <c r="C268" t="s">
        <v>772</v>
      </c>
      <c r="D268" t="s">
        <v>121</v>
      </c>
      <c r="E268" t="s">
        <v>773</v>
      </c>
      <c r="F268" t="str">
        <f>"00381131"</f>
        <v>00381131</v>
      </c>
      <c r="G268" t="s">
        <v>100</v>
      </c>
      <c r="H268" t="s">
        <v>20</v>
      </c>
      <c r="I268">
        <v>1468</v>
      </c>
      <c r="J268" t="s">
        <v>21</v>
      </c>
      <c r="K268">
        <v>0</v>
      </c>
      <c r="M268">
        <v>1528</v>
      </c>
    </row>
    <row r="269" spans="1:13">
      <c r="A269">
        <v>263</v>
      </c>
      <c r="B269">
        <v>57588</v>
      </c>
      <c r="C269" t="s">
        <v>774</v>
      </c>
      <c r="D269" t="s">
        <v>145</v>
      </c>
      <c r="E269" t="s">
        <v>775</v>
      </c>
      <c r="F269" t="str">
        <f>"201511009178"</f>
        <v>201511009178</v>
      </c>
      <c r="G269" t="s">
        <v>150</v>
      </c>
      <c r="H269" t="s">
        <v>151</v>
      </c>
      <c r="I269">
        <v>1699</v>
      </c>
      <c r="J269" t="s">
        <v>21</v>
      </c>
      <c r="K269">
        <v>0</v>
      </c>
      <c r="L269" t="s">
        <v>35</v>
      </c>
      <c r="M269">
        <v>860</v>
      </c>
    </row>
    <row r="270" spans="1:13">
      <c r="A270">
        <v>264</v>
      </c>
      <c r="B270">
        <v>67970</v>
      </c>
      <c r="C270" t="s">
        <v>776</v>
      </c>
      <c r="D270" t="s">
        <v>139</v>
      </c>
      <c r="E270" t="s">
        <v>777</v>
      </c>
      <c r="F270" t="str">
        <f>"00260051"</f>
        <v>00260051</v>
      </c>
      <c r="G270" t="s">
        <v>107</v>
      </c>
      <c r="H270" t="s">
        <v>20</v>
      </c>
      <c r="I270">
        <v>1472</v>
      </c>
      <c r="J270" t="s">
        <v>21</v>
      </c>
      <c r="K270">
        <v>0</v>
      </c>
      <c r="M270">
        <v>1468</v>
      </c>
    </row>
    <row r="271" spans="1:13">
      <c r="A271">
        <v>265</v>
      </c>
      <c r="B271">
        <v>83522</v>
      </c>
      <c r="C271" t="s">
        <v>778</v>
      </c>
      <c r="D271" t="s">
        <v>76</v>
      </c>
      <c r="E271" t="s">
        <v>779</v>
      </c>
      <c r="F271" t="str">
        <f>"00399191"</f>
        <v>00399191</v>
      </c>
      <c r="G271" t="s">
        <v>92</v>
      </c>
      <c r="H271" t="s">
        <v>780</v>
      </c>
      <c r="I271">
        <v>1402</v>
      </c>
      <c r="J271" t="s">
        <v>21</v>
      </c>
      <c r="K271">
        <v>0</v>
      </c>
      <c r="L271" t="s">
        <v>35</v>
      </c>
      <c r="M271">
        <v>1175</v>
      </c>
    </row>
    <row r="272" spans="1:13">
      <c r="A272">
        <v>266</v>
      </c>
      <c r="B272">
        <v>50243</v>
      </c>
      <c r="C272" t="s">
        <v>781</v>
      </c>
      <c r="D272" t="s">
        <v>76</v>
      </c>
      <c r="E272" t="s">
        <v>782</v>
      </c>
      <c r="F272" t="str">
        <f>"00357244"</f>
        <v>00357244</v>
      </c>
      <c r="G272" t="s">
        <v>371</v>
      </c>
      <c r="H272" t="s">
        <v>20</v>
      </c>
      <c r="I272">
        <v>1526</v>
      </c>
      <c r="J272" t="s">
        <v>21</v>
      </c>
      <c r="K272">
        <v>6</v>
      </c>
      <c r="M272">
        <v>968</v>
      </c>
    </row>
    <row r="273" spans="1:13">
      <c r="A273">
        <v>267</v>
      </c>
      <c r="B273">
        <v>64557</v>
      </c>
      <c r="C273" t="s">
        <v>783</v>
      </c>
      <c r="D273" t="s">
        <v>105</v>
      </c>
      <c r="E273" t="s">
        <v>784</v>
      </c>
      <c r="F273" t="str">
        <f>"201511014140"</f>
        <v>201511014140</v>
      </c>
      <c r="G273" t="s">
        <v>245</v>
      </c>
      <c r="H273" t="s">
        <v>20</v>
      </c>
      <c r="I273">
        <v>1406</v>
      </c>
      <c r="J273" t="s">
        <v>21</v>
      </c>
      <c r="K273">
        <v>0</v>
      </c>
      <c r="M273">
        <v>1428</v>
      </c>
    </row>
    <row r="274" spans="1:13">
      <c r="A274">
        <v>268</v>
      </c>
      <c r="B274">
        <v>103305</v>
      </c>
      <c r="C274" t="s">
        <v>785</v>
      </c>
      <c r="D274" t="s">
        <v>243</v>
      </c>
      <c r="E274" t="s">
        <v>786</v>
      </c>
      <c r="F274" t="str">
        <f>"00379282"</f>
        <v>00379282</v>
      </c>
      <c r="G274" t="s">
        <v>375</v>
      </c>
      <c r="H274" t="s">
        <v>20</v>
      </c>
      <c r="I274">
        <v>1516</v>
      </c>
      <c r="J274" t="s">
        <v>21</v>
      </c>
      <c r="K274">
        <v>0</v>
      </c>
      <c r="M274">
        <v>1468</v>
      </c>
    </row>
    <row r="275" spans="1:13">
      <c r="A275">
        <v>269</v>
      </c>
      <c r="B275">
        <v>68204</v>
      </c>
      <c r="C275" t="s">
        <v>787</v>
      </c>
      <c r="D275" t="s">
        <v>180</v>
      </c>
      <c r="E275" t="s">
        <v>788</v>
      </c>
      <c r="F275" t="str">
        <f>"00088734"</f>
        <v>00088734</v>
      </c>
      <c r="G275" t="s">
        <v>125</v>
      </c>
      <c r="H275" t="s">
        <v>20</v>
      </c>
      <c r="I275">
        <v>1507</v>
      </c>
      <c r="J275" t="s">
        <v>21</v>
      </c>
      <c r="K275">
        <v>0</v>
      </c>
      <c r="L275" t="s">
        <v>35</v>
      </c>
      <c r="M275">
        <v>1107</v>
      </c>
    </row>
    <row r="276" spans="1:13">
      <c r="A276">
        <v>270</v>
      </c>
      <c r="B276">
        <v>94991</v>
      </c>
      <c r="C276" t="s">
        <v>789</v>
      </c>
      <c r="D276" t="s">
        <v>180</v>
      </c>
      <c r="E276" t="s">
        <v>790</v>
      </c>
      <c r="F276" t="str">
        <f>"00404368"</f>
        <v>00404368</v>
      </c>
      <c r="G276" t="s">
        <v>791</v>
      </c>
      <c r="H276" t="s">
        <v>20</v>
      </c>
      <c r="I276">
        <v>1506</v>
      </c>
      <c r="J276" t="s">
        <v>21</v>
      </c>
      <c r="K276">
        <v>0</v>
      </c>
      <c r="L276" t="s">
        <v>35</v>
      </c>
      <c r="M276">
        <v>970</v>
      </c>
    </row>
    <row r="277" spans="1:13">
      <c r="A277">
        <v>271</v>
      </c>
      <c r="B277">
        <v>101626</v>
      </c>
      <c r="C277" t="s">
        <v>792</v>
      </c>
      <c r="D277" t="s">
        <v>209</v>
      </c>
      <c r="E277" t="s">
        <v>793</v>
      </c>
      <c r="F277" t="str">
        <f>"00402724"</f>
        <v>00402724</v>
      </c>
      <c r="G277" t="s">
        <v>42</v>
      </c>
      <c r="H277" t="s">
        <v>43</v>
      </c>
      <c r="I277">
        <v>1712</v>
      </c>
      <c r="J277" t="s">
        <v>21</v>
      </c>
      <c r="K277">
        <v>0</v>
      </c>
      <c r="L277" t="s">
        <v>35</v>
      </c>
      <c r="M277">
        <v>972</v>
      </c>
    </row>
    <row r="278" spans="1:13">
      <c r="A278">
        <v>272</v>
      </c>
      <c r="B278">
        <v>62416</v>
      </c>
      <c r="C278" t="s">
        <v>794</v>
      </c>
      <c r="D278" t="s">
        <v>495</v>
      </c>
      <c r="E278" t="s">
        <v>795</v>
      </c>
      <c r="F278" t="str">
        <f>"00276919"</f>
        <v>00276919</v>
      </c>
      <c r="G278" t="s">
        <v>488</v>
      </c>
      <c r="H278" t="s">
        <v>20</v>
      </c>
      <c r="I278">
        <v>1482</v>
      </c>
      <c r="J278" t="s">
        <v>21</v>
      </c>
      <c r="K278">
        <v>0</v>
      </c>
      <c r="L278" t="s">
        <v>35</v>
      </c>
      <c r="M278">
        <v>910</v>
      </c>
    </row>
    <row r="279" spans="1:13">
      <c r="A279">
        <v>273</v>
      </c>
      <c r="B279">
        <v>48456</v>
      </c>
      <c r="C279" t="s">
        <v>796</v>
      </c>
      <c r="D279" t="s">
        <v>243</v>
      </c>
      <c r="E279" t="s">
        <v>797</v>
      </c>
      <c r="F279" t="str">
        <f>"00309626"</f>
        <v>00309626</v>
      </c>
      <c r="G279" t="s">
        <v>798</v>
      </c>
      <c r="H279" t="s">
        <v>326</v>
      </c>
      <c r="I279">
        <v>1593</v>
      </c>
      <c r="J279" t="s">
        <v>21</v>
      </c>
      <c r="K279">
        <v>0</v>
      </c>
      <c r="L279" t="s">
        <v>35</v>
      </c>
      <c r="M279">
        <v>1157</v>
      </c>
    </row>
    <row r="280" spans="1:13">
      <c r="A280">
        <v>274</v>
      </c>
      <c r="B280">
        <v>94226</v>
      </c>
      <c r="C280" t="s">
        <v>799</v>
      </c>
      <c r="D280" t="s">
        <v>800</v>
      </c>
      <c r="E280" t="s">
        <v>801</v>
      </c>
      <c r="F280" t="str">
        <f>"00387349"</f>
        <v>00387349</v>
      </c>
      <c r="G280" t="s">
        <v>341</v>
      </c>
      <c r="H280" t="s">
        <v>20</v>
      </c>
      <c r="I280">
        <v>1553</v>
      </c>
      <c r="J280" t="s">
        <v>21</v>
      </c>
      <c r="K280">
        <v>6</v>
      </c>
      <c r="M280">
        <v>1389</v>
      </c>
    </row>
    <row r="281" spans="1:13">
      <c r="A281">
        <v>275</v>
      </c>
      <c r="B281">
        <v>104634</v>
      </c>
      <c r="C281" t="s">
        <v>802</v>
      </c>
      <c r="D281" t="s">
        <v>105</v>
      </c>
      <c r="E281" t="s">
        <v>803</v>
      </c>
      <c r="F281" t="str">
        <f>"00346602"</f>
        <v>00346602</v>
      </c>
      <c r="G281" t="s">
        <v>804</v>
      </c>
      <c r="H281" t="s">
        <v>535</v>
      </c>
      <c r="I281">
        <v>1353</v>
      </c>
      <c r="J281" t="s">
        <v>21</v>
      </c>
      <c r="K281">
        <v>0</v>
      </c>
      <c r="M281">
        <v>1488</v>
      </c>
    </row>
    <row r="282" spans="1:13">
      <c r="A282">
        <v>276</v>
      </c>
      <c r="B282">
        <v>67937</v>
      </c>
      <c r="C282" t="s">
        <v>805</v>
      </c>
      <c r="D282" t="s">
        <v>80</v>
      </c>
      <c r="E282" t="s">
        <v>806</v>
      </c>
      <c r="F282" t="str">
        <f>"00227953"</f>
        <v>00227953</v>
      </c>
      <c r="G282" t="s">
        <v>82</v>
      </c>
      <c r="H282" t="s">
        <v>20</v>
      </c>
      <c r="I282">
        <v>1475</v>
      </c>
      <c r="J282" t="s">
        <v>21</v>
      </c>
      <c r="K282">
        <v>0</v>
      </c>
      <c r="L282" t="s">
        <v>59</v>
      </c>
      <c r="M282">
        <v>1028</v>
      </c>
    </row>
    <row r="283" spans="1:13">
      <c r="A283">
        <v>277</v>
      </c>
      <c r="B283">
        <v>102577</v>
      </c>
      <c r="C283" t="s">
        <v>807</v>
      </c>
      <c r="D283" t="s">
        <v>90</v>
      </c>
      <c r="E283" t="s">
        <v>808</v>
      </c>
      <c r="F283" t="str">
        <f>"00390346"</f>
        <v>00390346</v>
      </c>
      <c r="G283" t="s">
        <v>809</v>
      </c>
      <c r="H283" t="s">
        <v>20</v>
      </c>
      <c r="I283">
        <v>1504</v>
      </c>
      <c r="J283" t="s">
        <v>21</v>
      </c>
      <c r="K283">
        <v>0</v>
      </c>
      <c r="L283" t="s">
        <v>59</v>
      </c>
      <c r="M283">
        <v>888</v>
      </c>
    </row>
    <row r="284" spans="1:13">
      <c r="A284">
        <v>278</v>
      </c>
      <c r="B284">
        <v>94533</v>
      </c>
      <c r="C284" t="s">
        <v>810</v>
      </c>
      <c r="D284" t="s">
        <v>811</v>
      </c>
      <c r="E284" t="s">
        <v>812</v>
      </c>
      <c r="F284" t="str">
        <f>"00391091"</f>
        <v>00391091</v>
      </c>
      <c r="G284" t="s">
        <v>92</v>
      </c>
      <c r="H284" t="s">
        <v>20</v>
      </c>
      <c r="I284">
        <v>1425</v>
      </c>
      <c r="J284" t="s">
        <v>21</v>
      </c>
      <c r="K284">
        <v>0</v>
      </c>
      <c r="M284">
        <v>1688</v>
      </c>
    </row>
    <row r="285" spans="1:13">
      <c r="A285">
        <v>279</v>
      </c>
      <c r="B285">
        <v>88868</v>
      </c>
      <c r="C285" t="s">
        <v>813</v>
      </c>
      <c r="D285" t="s">
        <v>153</v>
      </c>
      <c r="E285" t="s">
        <v>814</v>
      </c>
      <c r="F285" t="str">
        <f>"201106000063"</f>
        <v>201106000063</v>
      </c>
      <c r="G285" t="s">
        <v>709</v>
      </c>
      <c r="H285" t="s">
        <v>20</v>
      </c>
      <c r="I285">
        <v>1413</v>
      </c>
      <c r="J285" t="s">
        <v>21</v>
      </c>
      <c r="K285">
        <v>0</v>
      </c>
      <c r="L285" t="s">
        <v>83</v>
      </c>
      <c r="M285">
        <v>1228</v>
      </c>
    </row>
    <row r="286" spans="1:13">
      <c r="A286">
        <v>280</v>
      </c>
      <c r="B286">
        <v>48945</v>
      </c>
      <c r="C286" t="s">
        <v>815</v>
      </c>
      <c r="D286" t="s">
        <v>243</v>
      </c>
      <c r="E286" t="s">
        <v>816</v>
      </c>
      <c r="F286" t="str">
        <f>"00093211"</f>
        <v>00093211</v>
      </c>
      <c r="G286" t="s">
        <v>817</v>
      </c>
      <c r="H286" t="s">
        <v>234</v>
      </c>
      <c r="I286">
        <v>1326</v>
      </c>
      <c r="J286" t="s">
        <v>21</v>
      </c>
      <c r="K286">
        <v>7</v>
      </c>
      <c r="M286">
        <v>1528</v>
      </c>
    </row>
    <row r="287" spans="1:13">
      <c r="A287">
        <v>281</v>
      </c>
      <c r="B287">
        <v>62327</v>
      </c>
      <c r="C287" t="s">
        <v>818</v>
      </c>
      <c r="D287" t="s">
        <v>249</v>
      </c>
      <c r="E287" t="s">
        <v>819</v>
      </c>
      <c r="F287" t="str">
        <f>"00236066"</f>
        <v>00236066</v>
      </c>
      <c r="G287" t="s">
        <v>760</v>
      </c>
      <c r="H287" t="s">
        <v>20</v>
      </c>
      <c r="I287">
        <v>1432</v>
      </c>
      <c r="J287" t="s">
        <v>21</v>
      </c>
      <c r="K287">
        <v>0</v>
      </c>
      <c r="M287">
        <v>1688</v>
      </c>
    </row>
    <row r="288" spans="1:13">
      <c r="A288">
        <v>282</v>
      </c>
      <c r="B288">
        <v>63506</v>
      </c>
      <c r="C288" t="s">
        <v>820</v>
      </c>
      <c r="D288" t="s">
        <v>121</v>
      </c>
      <c r="E288" t="s">
        <v>821</v>
      </c>
      <c r="F288" t="str">
        <f>"00044266"</f>
        <v>00044266</v>
      </c>
      <c r="G288" t="s">
        <v>273</v>
      </c>
      <c r="H288" t="s">
        <v>274</v>
      </c>
      <c r="I288">
        <v>1395</v>
      </c>
      <c r="J288" t="s">
        <v>21</v>
      </c>
      <c r="K288">
        <v>0</v>
      </c>
      <c r="M288">
        <v>1428</v>
      </c>
    </row>
    <row r="289" spans="1:13">
      <c r="A289">
        <v>283</v>
      </c>
      <c r="B289">
        <v>81542</v>
      </c>
      <c r="C289" t="s">
        <v>822</v>
      </c>
      <c r="D289" t="s">
        <v>105</v>
      </c>
      <c r="E289" t="s">
        <v>823</v>
      </c>
      <c r="F289" t="str">
        <f>"00408251"</f>
        <v>00408251</v>
      </c>
      <c r="G289" t="s">
        <v>125</v>
      </c>
      <c r="H289" t="s">
        <v>20</v>
      </c>
      <c r="I289">
        <v>1507</v>
      </c>
      <c r="J289" t="s">
        <v>21</v>
      </c>
      <c r="K289">
        <v>0</v>
      </c>
      <c r="M289">
        <v>1453</v>
      </c>
    </row>
    <row r="290" spans="1:13">
      <c r="A290">
        <v>284</v>
      </c>
      <c r="B290">
        <v>101589</v>
      </c>
      <c r="C290" t="s">
        <v>824</v>
      </c>
      <c r="D290" t="s">
        <v>80</v>
      </c>
      <c r="E290" t="s">
        <v>825</v>
      </c>
      <c r="F290" t="str">
        <f>"00396173"</f>
        <v>00396173</v>
      </c>
      <c r="G290" t="s">
        <v>531</v>
      </c>
      <c r="H290" t="s">
        <v>20</v>
      </c>
      <c r="I290">
        <v>1445</v>
      </c>
      <c r="J290" t="s">
        <v>21</v>
      </c>
      <c r="K290">
        <v>0</v>
      </c>
      <c r="M290">
        <v>1508</v>
      </c>
    </row>
    <row r="291" spans="1:13">
      <c r="A291">
        <v>285</v>
      </c>
      <c r="B291">
        <v>76907</v>
      </c>
      <c r="C291" t="s">
        <v>826</v>
      </c>
      <c r="D291" t="s">
        <v>105</v>
      </c>
      <c r="E291" t="s">
        <v>827</v>
      </c>
      <c r="F291" t="str">
        <f>"00378555"</f>
        <v>00378555</v>
      </c>
      <c r="G291" t="s">
        <v>418</v>
      </c>
      <c r="H291" t="s">
        <v>234</v>
      </c>
      <c r="I291">
        <v>1335</v>
      </c>
      <c r="J291" t="s">
        <v>21</v>
      </c>
      <c r="K291">
        <v>6</v>
      </c>
      <c r="M291">
        <v>1488</v>
      </c>
    </row>
    <row r="292" spans="1:13">
      <c r="A292">
        <v>286</v>
      </c>
      <c r="B292">
        <v>68473</v>
      </c>
      <c r="C292" t="s">
        <v>828</v>
      </c>
      <c r="D292" t="s">
        <v>90</v>
      </c>
      <c r="E292" t="s">
        <v>829</v>
      </c>
      <c r="F292" t="str">
        <f>"00403590"</f>
        <v>00403590</v>
      </c>
      <c r="G292" t="s">
        <v>107</v>
      </c>
      <c r="H292" t="s">
        <v>20</v>
      </c>
      <c r="I292">
        <v>1472</v>
      </c>
      <c r="J292" t="s">
        <v>21</v>
      </c>
      <c r="K292">
        <v>0</v>
      </c>
      <c r="L292" t="s">
        <v>35</v>
      </c>
      <c r="M292">
        <v>908</v>
      </c>
    </row>
    <row r="293" spans="1:13">
      <c r="A293">
        <v>287</v>
      </c>
      <c r="B293">
        <v>78926</v>
      </c>
      <c r="C293" t="s">
        <v>830</v>
      </c>
      <c r="D293" t="s">
        <v>105</v>
      </c>
      <c r="E293" t="s">
        <v>831</v>
      </c>
      <c r="F293" t="str">
        <f>"201410001540"</f>
        <v>201410001540</v>
      </c>
      <c r="G293" t="s">
        <v>733</v>
      </c>
      <c r="H293" t="s">
        <v>734</v>
      </c>
      <c r="I293">
        <v>1596</v>
      </c>
      <c r="J293" t="s">
        <v>21</v>
      </c>
      <c r="K293">
        <v>0</v>
      </c>
      <c r="L293" t="s">
        <v>35</v>
      </c>
      <c r="M293">
        <v>908</v>
      </c>
    </row>
    <row r="294" spans="1:13">
      <c r="A294">
        <v>288</v>
      </c>
      <c r="B294">
        <v>72433</v>
      </c>
      <c r="C294" t="s">
        <v>832</v>
      </c>
      <c r="D294" t="s">
        <v>218</v>
      </c>
      <c r="E294" t="s">
        <v>833</v>
      </c>
      <c r="F294" t="str">
        <f>"00388054"</f>
        <v>00388054</v>
      </c>
      <c r="G294" t="s">
        <v>834</v>
      </c>
      <c r="H294" t="s">
        <v>20</v>
      </c>
      <c r="I294">
        <v>1416</v>
      </c>
      <c r="J294" t="s">
        <v>21</v>
      </c>
      <c r="K294">
        <v>0</v>
      </c>
      <c r="L294" t="s">
        <v>59</v>
      </c>
      <c r="M294">
        <v>1028</v>
      </c>
    </row>
    <row r="295" spans="1:13">
      <c r="A295">
        <v>289</v>
      </c>
      <c r="B295">
        <v>71702</v>
      </c>
      <c r="C295" t="s">
        <v>835</v>
      </c>
      <c r="D295" t="s">
        <v>80</v>
      </c>
      <c r="E295" t="s">
        <v>836</v>
      </c>
      <c r="F295" t="str">
        <f>"00078119"</f>
        <v>00078119</v>
      </c>
      <c r="G295" t="s">
        <v>837</v>
      </c>
      <c r="H295" t="s">
        <v>20</v>
      </c>
      <c r="I295">
        <v>1546</v>
      </c>
      <c r="J295" t="s">
        <v>21</v>
      </c>
      <c r="K295">
        <v>0</v>
      </c>
      <c r="L295" t="s">
        <v>59</v>
      </c>
      <c r="M295">
        <v>1144</v>
      </c>
    </row>
    <row r="296" spans="1:13">
      <c r="A296">
        <v>290</v>
      </c>
      <c r="B296">
        <v>96632</v>
      </c>
      <c r="C296" t="s">
        <v>838</v>
      </c>
      <c r="D296" t="s">
        <v>180</v>
      </c>
      <c r="E296" t="s">
        <v>839</v>
      </c>
      <c r="F296" t="str">
        <f>"00384101"</f>
        <v>00384101</v>
      </c>
      <c r="G296" t="s">
        <v>47</v>
      </c>
      <c r="H296" t="s">
        <v>48</v>
      </c>
      <c r="I296">
        <v>1623</v>
      </c>
      <c r="J296" t="s">
        <v>21</v>
      </c>
      <c r="K296">
        <v>0</v>
      </c>
      <c r="M296">
        <v>1368</v>
      </c>
    </row>
    <row r="297" spans="1:13">
      <c r="A297">
        <v>291</v>
      </c>
      <c r="B297">
        <v>46966</v>
      </c>
      <c r="C297" t="s">
        <v>840</v>
      </c>
      <c r="D297" t="s">
        <v>80</v>
      </c>
      <c r="E297" t="s">
        <v>841</v>
      </c>
      <c r="F297" t="str">
        <f>"00251097"</f>
        <v>00251097</v>
      </c>
      <c r="G297" t="s">
        <v>87</v>
      </c>
      <c r="H297" t="s">
        <v>20</v>
      </c>
      <c r="I297">
        <v>1436</v>
      </c>
      <c r="J297" t="s">
        <v>21</v>
      </c>
      <c r="K297">
        <v>0</v>
      </c>
      <c r="M297">
        <v>1828</v>
      </c>
    </row>
    <row r="298" spans="1:13">
      <c r="A298">
        <v>292</v>
      </c>
      <c r="B298">
        <v>57710</v>
      </c>
      <c r="C298" t="s">
        <v>842</v>
      </c>
      <c r="D298" t="s">
        <v>163</v>
      </c>
      <c r="E298" t="s">
        <v>843</v>
      </c>
      <c r="F298" t="str">
        <f>"00379483"</f>
        <v>00379483</v>
      </c>
      <c r="G298" t="s">
        <v>203</v>
      </c>
      <c r="H298" t="s">
        <v>20</v>
      </c>
      <c r="I298">
        <v>1476</v>
      </c>
      <c r="J298" t="s">
        <v>21</v>
      </c>
      <c r="K298">
        <v>6</v>
      </c>
      <c r="L298" t="s">
        <v>35</v>
      </c>
      <c r="M298">
        <v>708</v>
      </c>
    </row>
    <row r="299" spans="1:13">
      <c r="A299">
        <v>293</v>
      </c>
      <c r="B299">
        <v>99488</v>
      </c>
      <c r="C299" t="s">
        <v>844</v>
      </c>
      <c r="D299" t="s">
        <v>80</v>
      </c>
      <c r="E299" t="s">
        <v>845</v>
      </c>
      <c r="F299" t="str">
        <f>"00387681"</f>
        <v>00387681</v>
      </c>
      <c r="G299" t="s">
        <v>418</v>
      </c>
      <c r="H299" t="s">
        <v>234</v>
      </c>
      <c r="I299">
        <v>1335</v>
      </c>
      <c r="J299" t="s">
        <v>21</v>
      </c>
      <c r="K299">
        <v>6</v>
      </c>
      <c r="L299" t="s">
        <v>59</v>
      </c>
      <c r="M299">
        <v>988</v>
      </c>
    </row>
    <row r="300" spans="1:13">
      <c r="A300">
        <v>294</v>
      </c>
      <c r="B300">
        <v>73679</v>
      </c>
      <c r="C300" t="s">
        <v>846</v>
      </c>
      <c r="D300" t="s">
        <v>163</v>
      </c>
      <c r="E300" t="s">
        <v>847</v>
      </c>
      <c r="F300" t="str">
        <f>"00377988"</f>
        <v>00377988</v>
      </c>
      <c r="G300" t="s">
        <v>111</v>
      </c>
      <c r="H300" t="s">
        <v>48</v>
      </c>
      <c r="I300">
        <v>1620</v>
      </c>
      <c r="J300" t="s">
        <v>21</v>
      </c>
      <c r="K300">
        <v>0</v>
      </c>
      <c r="L300" t="s">
        <v>35</v>
      </c>
      <c r="M300">
        <v>908</v>
      </c>
    </row>
    <row r="301" spans="1:13">
      <c r="A301">
        <v>295</v>
      </c>
      <c r="B301">
        <v>115664</v>
      </c>
      <c r="C301" t="s">
        <v>848</v>
      </c>
      <c r="D301" t="s">
        <v>849</v>
      </c>
      <c r="E301" t="s">
        <v>850</v>
      </c>
      <c r="F301" t="str">
        <f>"00103800"</f>
        <v>00103800</v>
      </c>
      <c r="G301" t="s">
        <v>704</v>
      </c>
      <c r="H301" t="s">
        <v>851</v>
      </c>
      <c r="I301">
        <v>1379</v>
      </c>
      <c r="J301" t="s">
        <v>21</v>
      </c>
      <c r="K301">
        <v>6</v>
      </c>
      <c r="M301">
        <v>1810</v>
      </c>
    </row>
    <row r="302" spans="1:13">
      <c r="A302">
        <v>296</v>
      </c>
      <c r="B302">
        <v>86720</v>
      </c>
      <c r="C302" t="s">
        <v>852</v>
      </c>
      <c r="D302" t="s">
        <v>726</v>
      </c>
      <c r="E302" t="s">
        <v>853</v>
      </c>
      <c r="F302" t="str">
        <f>"00271165"</f>
        <v>00271165</v>
      </c>
      <c r="G302" t="s">
        <v>107</v>
      </c>
      <c r="H302" t="s">
        <v>20</v>
      </c>
      <c r="I302">
        <v>1472</v>
      </c>
      <c r="J302" t="s">
        <v>21</v>
      </c>
      <c r="K302">
        <v>0</v>
      </c>
      <c r="M302">
        <v>1528</v>
      </c>
    </row>
    <row r="303" spans="1:13">
      <c r="A303">
        <v>297</v>
      </c>
      <c r="B303">
        <v>54023</v>
      </c>
      <c r="C303" t="s">
        <v>854</v>
      </c>
      <c r="D303" t="s">
        <v>655</v>
      </c>
      <c r="E303" t="s">
        <v>855</v>
      </c>
      <c r="F303" t="str">
        <f>"00366489"</f>
        <v>00366489</v>
      </c>
      <c r="G303" t="s">
        <v>856</v>
      </c>
      <c r="H303" t="s">
        <v>857</v>
      </c>
      <c r="I303">
        <v>1661</v>
      </c>
      <c r="J303" t="s">
        <v>21</v>
      </c>
      <c r="K303">
        <v>0</v>
      </c>
      <c r="L303" t="s">
        <v>35</v>
      </c>
      <c r="M303">
        <v>1008</v>
      </c>
    </row>
    <row r="304" spans="1:13">
      <c r="A304">
        <v>298</v>
      </c>
      <c r="B304">
        <v>67464</v>
      </c>
      <c r="C304" t="s">
        <v>858</v>
      </c>
      <c r="D304" t="s">
        <v>109</v>
      </c>
      <c r="E304" t="s">
        <v>859</v>
      </c>
      <c r="F304" t="str">
        <f>"00350064"</f>
        <v>00350064</v>
      </c>
      <c r="G304" t="s">
        <v>107</v>
      </c>
      <c r="H304" t="s">
        <v>20</v>
      </c>
      <c r="I304">
        <v>1472</v>
      </c>
      <c r="J304" t="s">
        <v>21</v>
      </c>
      <c r="K304">
        <v>0</v>
      </c>
      <c r="M304">
        <v>1378</v>
      </c>
    </row>
    <row r="305" spans="1:13">
      <c r="A305">
        <v>299</v>
      </c>
      <c r="B305">
        <v>60289</v>
      </c>
      <c r="C305" t="s">
        <v>860</v>
      </c>
      <c r="D305" t="s">
        <v>811</v>
      </c>
      <c r="E305" t="s">
        <v>861</v>
      </c>
      <c r="F305" t="str">
        <f>"00381765"</f>
        <v>00381765</v>
      </c>
      <c r="G305" t="s">
        <v>862</v>
      </c>
      <c r="H305" t="s">
        <v>48</v>
      </c>
      <c r="I305">
        <v>1619</v>
      </c>
      <c r="J305" t="s">
        <v>21</v>
      </c>
      <c r="K305">
        <v>0</v>
      </c>
      <c r="M305">
        <v>2163</v>
      </c>
    </row>
    <row r="306" spans="1:13">
      <c r="A306">
        <v>300</v>
      </c>
      <c r="B306">
        <v>103861</v>
      </c>
      <c r="C306" t="s">
        <v>863</v>
      </c>
      <c r="D306" t="s">
        <v>80</v>
      </c>
      <c r="E306" t="s">
        <v>864</v>
      </c>
      <c r="F306" t="str">
        <f>"00405625"</f>
        <v>00405625</v>
      </c>
      <c r="G306" t="s">
        <v>862</v>
      </c>
      <c r="H306" t="s">
        <v>48</v>
      </c>
      <c r="I306">
        <v>1619</v>
      </c>
      <c r="J306" t="s">
        <v>21</v>
      </c>
      <c r="K306">
        <v>0</v>
      </c>
      <c r="L306" t="s">
        <v>35</v>
      </c>
      <c r="M306">
        <v>1386</v>
      </c>
    </row>
    <row r="307" spans="1:13">
      <c r="A307">
        <v>301</v>
      </c>
      <c r="B307">
        <v>69066</v>
      </c>
      <c r="C307" t="s">
        <v>865</v>
      </c>
      <c r="D307" t="s">
        <v>811</v>
      </c>
      <c r="E307" t="s">
        <v>866</v>
      </c>
      <c r="F307" t="str">
        <f>"00398905"</f>
        <v>00398905</v>
      </c>
      <c r="G307" t="s">
        <v>862</v>
      </c>
      <c r="H307" t="s">
        <v>48</v>
      </c>
      <c r="I307">
        <v>1619</v>
      </c>
      <c r="J307" t="s">
        <v>21</v>
      </c>
      <c r="K307">
        <v>0</v>
      </c>
      <c r="L307" t="s">
        <v>35</v>
      </c>
      <c r="M307">
        <v>1486</v>
      </c>
    </row>
    <row r="308" spans="1:13">
      <c r="A308">
        <v>302</v>
      </c>
      <c r="B308">
        <v>55876</v>
      </c>
      <c r="C308" t="s">
        <v>867</v>
      </c>
      <c r="D308" t="s">
        <v>145</v>
      </c>
      <c r="E308" t="s">
        <v>868</v>
      </c>
      <c r="F308" t="str">
        <f>"00030236"</f>
        <v>00030236</v>
      </c>
      <c r="G308" t="s">
        <v>38</v>
      </c>
      <c r="H308" t="s">
        <v>39</v>
      </c>
      <c r="I308">
        <v>1634</v>
      </c>
      <c r="J308" t="s">
        <v>21</v>
      </c>
      <c r="K308">
        <v>0</v>
      </c>
      <c r="L308" t="s">
        <v>88</v>
      </c>
      <c r="M308">
        <v>400</v>
      </c>
    </row>
    <row r="309" spans="1:13">
      <c r="A309">
        <v>303</v>
      </c>
      <c r="B309">
        <v>89139</v>
      </c>
      <c r="C309" t="s">
        <v>869</v>
      </c>
      <c r="D309" t="s">
        <v>209</v>
      </c>
      <c r="E309" t="s">
        <v>870</v>
      </c>
      <c r="F309" t="str">
        <f>"00265657"</f>
        <v>00265657</v>
      </c>
      <c r="G309" t="s">
        <v>465</v>
      </c>
      <c r="H309" t="s">
        <v>20</v>
      </c>
      <c r="I309">
        <v>1534</v>
      </c>
      <c r="J309" t="s">
        <v>21</v>
      </c>
      <c r="K309">
        <v>0</v>
      </c>
      <c r="M309">
        <v>1488</v>
      </c>
    </row>
    <row r="310" spans="1:13">
      <c r="A310">
        <v>304</v>
      </c>
      <c r="B310">
        <v>52412</v>
      </c>
      <c r="C310" t="s">
        <v>871</v>
      </c>
      <c r="D310" t="s">
        <v>209</v>
      </c>
      <c r="E310" t="s">
        <v>872</v>
      </c>
      <c r="F310" t="str">
        <f>"00276788"</f>
        <v>00276788</v>
      </c>
      <c r="G310" t="s">
        <v>721</v>
      </c>
      <c r="H310" t="s">
        <v>20</v>
      </c>
      <c r="I310">
        <v>1575</v>
      </c>
      <c r="J310" t="s">
        <v>21</v>
      </c>
      <c r="K310">
        <v>0</v>
      </c>
      <c r="L310" t="s">
        <v>88</v>
      </c>
      <c r="M310">
        <v>550</v>
      </c>
    </row>
    <row r="311" spans="1:13">
      <c r="A311">
        <v>305</v>
      </c>
      <c r="B311">
        <v>114799</v>
      </c>
      <c r="C311" t="s">
        <v>873</v>
      </c>
      <c r="D311" t="s">
        <v>109</v>
      </c>
      <c r="E311" t="s">
        <v>874</v>
      </c>
      <c r="F311" t="str">
        <f>"00406728"</f>
        <v>00406728</v>
      </c>
      <c r="G311" t="s">
        <v>365</v>
      </c>
      <c r="H311" t="s">
        <v>366</v>
      </c>
      <c r="I311">
        <v>1692</v>
      </c>
      <c r="J311" t="s">
        <v>21</v>
      </c>
      <c r="K311">
        <v>0</v>
      </c>
      <c r="M311">
        <v>1716</v>
      </c>
    </row>
    <row r="312" spans="1:13">
      <c r="A312">
        <v>306</v>
      </c>
      <c r="B312">
        <v>70870</v>
      </c>
      <c r="C312" t="s">
        <v>875</v>
      </c>
      <c r="D312" t="s">
        <v>180</v>
      </c>
      <c r="E312" t="s">
        <v>876</v>
      </c>
      <c r="F312" t="str">
        <f>"00374896"</f>
        <v>00374896</v>
      </c>
      <c r="G312" t="s">
        <v>47</v>
      </c>
      <c r="H312" t="s">
        <v>48</v>
      </c>
      <c r="I312">
        <v>1623</v>
      </c>
      <c r="J312" t="s">
        <v>21</v>
      </c>
      <c r="K312">
        <v>0</v>
      </c>
      <c r="M312">
        <v>1418</v>
      </c>
    </row>
    <row r="313" spans="1:13">
      <c r="A313">
        <v>307</v>
      </c>
      <c r="B313">
        <v>94876</v>
      </c>
      <c r="C313" t="s">
        <v>877</v>
      </c>
      <c r="D313" t="s">
        <v>726</v>
      </c>
      <c r="E313" t="s">
        <v>878</v>
      </c>
      <c r="F313" t="str">
        <f>"00388566"</f>
        <v>00388566</v>
      </c>
      <c r="G313" t="s">
        <v>107</v>
      </c>
      <c r="H313" t="s">
        <v>20</v>
      </c>
      <c r="I313">
        <v>1472</v>
      </c>
      <c r="J313" t="s">
        <v>21</v>
      </c>
      <c r="K313">
        <v>0</v>
      </c>
      <c r="L313" t="s">
        <v>112</v>
      </c>
      <c r="M313">
        <v>808</v>
      </c>
    </row>
    <row r="314" spans="1:13">
      <c r="A314">
        <v>308</v>
      </c>
      <c r="B314">
        <v>115484</v>
      </c>
      <c r="C314" t="s">
        <v>879</v>
      </c>
      <c r="D314" t="s">
        <v>121</v>
      </c>
      <c r="E314" t="s">
        <v>880</v>
      </c>
      <c r="F314" t="str">
        <f>"00420848"</f>
        <v>00420848</v>
      </c>
      <c r="G314" t="s">
        <v>19</v>
      </c>
      <c r="H314" t="s">
        <v>20</v>
      </c>
      <c r="I314">
        <v>1531</v>
      </c>
      <c r="J314" t="s">
        <v>21</v>
      </c>
      <c r="K314">
        <v>0</v>
      </c>
      <c r="M314">
        <v>1488</v>
      </c>
    </row>
    <row r="315" spans="1:13">
      <c r="A315">
        <v>309</v>
      </c>
      <c r="B315">
        <v>116879</v>
      </c>
      <c r="C315" t="s">
        <v>881</v>
      </c>
      <c r="D315" t="s">
        <v>94</v>
      </c>
      <c r="E315" t="s">
        <v>882</v>
      </c>
      <c r="F315" t="str">
        <f>"201410001058"</f>
        <v>201410001058</v>
      </c>
      <c r="G315" t="s">
        <v>883</v>
      </c>
      <c r="H315" t="s">
        <v>270</v>
      </c>
      <c r="I315">
        <v>1585</v>
      </c>
      <c r="J315" t="s">
        <v>21</v>
      </c>
      <c r="K315">
        <v>0</v>
      </c>
      <c r="M315">
        <v>1428</v>
      </c>
    </row>
    <row r="316" spans="1:13">
      <c r="A316">
        <v>310</v>
      </c>
      <c r="B316">
        <v>109855</v>
      </c>
      <c r="C316" t="s">
        <v>884</v>
      </c>
      <c r="D316" t="s">
        <v>180</v>
      </c>
      <c r="E316" t="s">
        <v>885</v>
      </c>
      <c r="F316" t="str">
        <f>"201511035358"</f>
        <v>201511035358</v>
      </c>
      <c r="G316" t="s">
        <v>358</v>
      </c>
      <c r="H316" t="s">
        <v>20</v>
      </c>
      <c r="I316">
        <v>1549</v>
      </c>
      <c r="J316" t="s">
        <v>21</v>
      </c>
      <c r="K316">
        <v>0</v>
      </c>
      <c r="L316" t="s">
        <v>59</v>
      </c>
      <c r="M316">
        <v>788</v>
      </c>
    </row>
    <row r="317" spans="1:13">
      <c r="A317">
        <v>311</v>
      </c>
      <c r="B317">
        <v>101193</v>
      </c>
      <c r="C317" t="s">
        <v>886</v>
      </c>
      <c r="D317" t="s">
        <v>566</v>
      </c>
      <c r="E317" t="s">
        <v>887</v>
      </c>
      <c r="F317" t="str">
        <f>"00391448"</f>
        <v>00391448</v>
      </c>
      <c r="G317" t="s">
        <v>371</v>
      </c>
      <c r="H317" t="s">
        <v>20</v>
      </c>
      <c r="I317">
        <v>1526</v>
      </c>
      <c r="J317" t="s">
        <v>21</v>
      </c>
      <c r="K317">
        <v>6</v>
      </c>
      <c r="L317" t="s">
        <v>35</v>
      </c>
      <c r="M317">
        <v>508</v>
      </c>
    </row>
    <row r="318" spans="1:13">
      <c r="A318">
        <v>312</v>
      </c>
      <c r="B318">
        <v>106386</v>
      </c>
      <c r="C318" t="s">
        <v>888</v>
      </c>
      <c r="D318" t="s">
        <v>76</v>
      </c>
      <c r="E318" t="s">
        <v>889</v>
      </c>
      <c r="F318" t="str">
        <f>"00276239"</f>
        <v>00276239</v>
      </c>
      <c r="G318" t="s">
        <v>82</v>
      </c>
      <c r="H318" t="s">
        <v>20</v>
      </c>
      <c r="I318">
        <v>1475</v>
      </c>
      <c r="J318" t="s">
        <v>21</v>
      </c>
      <c r="K318">
        <v>0</v>
      </c>
      <c r="M318">
        <v>1478</v>
      </c>
    </row>
    <row r="319" spans="1:13">
      <c r="A319">
        <v>313</v>
      </c>
      <c r="B319">
        <v>106677</v>
      </c>
      <c r="C319" t="s">
        <v>890</v>
      </c>
      <c r="D319" t="s">
        <v>243</v>
      </c>
      <c r="E319" t="s">
        <v>891</v>
      </c>
      <c r="F319" t="str">
        <f>"00391364"</f>
        <v>00391364</v>
      </c>
      <c r="G319" t="s">
        <v>892</v>
      </c>
      <c r="H319" t="s">
        <v>20</v>
      </c>
      <c r="I319">
        <v>1410</v>
      </c>
      <c r="J319" t="s">
        <v>21</v>
      </c>
      <c r="K319">
        <v>0</v>
      </c>
      <c r="M319">
        <v>1388</v>
      </c>
    </row>
    <row r="320" spans="1:13">
      <c r="A320">
        <v>314</v>
      </c>
      <c r="B320">
        <v>59400</v>
      </c>
      <c r="C320" t="s">
        <v>893</v>
      </c>
      <c r="D320" t="s">
        <v>563</v>
      </c>
      <c r="E320" t="s">
        <v>894</v>
      </c>
      <c r="F320" t="str">
        <f>"00367700"</f>
        <v>00367700</v>
      </c>
      <c r="G320" t="s">
        <v>111</v>
      </c>
      <c r="H320" t="s">
        <v>48</v>
      </c>
      <c r="I320">
        <v>1620</v>
      </c>
      <c r="J320" t="s">
        <v>21</v>
      </c>
      <c r="K320">
        <v>0</v>
      </c>
      <c r="M320">
        <v>1368</v>
      </c>
    </row>
    <row r="321" spans="1:13">
      <c r="A321">
        <v>315</v>
      </c>
      <c r="B321">
        <v>102822</v>
      </c>
      <c r="C321" t="s">
        <v>895</v>
      </c>
      <c r="D321" t="s">
        <v>105</v>
      </c>
      <c r="E321" t="s">
        <v>896</v>
      </c>
      <c r="F321" t="str">
        <f>"00399934"</f>
        <v>00399934</v>
      </c>
      <c r="G321" t="s">
        <v>52</v>
      </c>
      <c r="H321" t="s">
        <v>20</v>
      </c>
      <c r="I321">
        <v>1503</v>
      </c>
      <c r="J321" t="s">
        <v>21</v>
      </c>
      <c r="K321">
        <v>0</v>
      </c>
      <c r="L321" t="s">
        <v>35</v>
      </c>
      <c r="M321">
        <v>1208</v>
      </c>
    </row>
    <row r="322" spans="1:13">
      <c r="A322">
        <v>316</v>
      </c>
      <c r="B322">
        <v>61336</v>
      </c>
      <c r="C322" t="s">
        <v>897</v>
      </c>
      <c r="D322" t="s">
        <v>80</v>
      </c>
      <c r="E322" t="s">
        <v>898</v>
      </c>
      <c r="F322" t="str">
        <f>"00380576"</f>
        <v>00380576</v>
      </c>
      <c r="G322" t="s">
        <v>899</v>
      </c>
      <c r="H322" t="s">
        <v>234</v>
      </c>
      <c r="I322">
        <v>1328</v>
      </c>
      <c r="J322" t="s">
        <v>21</v>
      </c>
      <c r="K322">
        <v>6</v>
      </c>
      <c r="M322">
        <v>1668</v>
      </c>
    </row>
    <row r="323" spans="1:13">
      <c r="A323">
        <v>317</v>
      </c>
      <c r="B323">
        <v>50534</v>
      </c>
      <c r="C323" t="s">
        <v>900</v>
      </c>
      <c r="D323" t="s">
        <v>243</v>
      </c>
      <c r="E323" t="s">
        <v>901</v>
      </c>
      <c r="F323" t="str">
        <f>"00049495"</f>
        <v>00049495</v>
      </c>
      <c r="G323" t="s">
        <v>760</v>
      </c>
      <c r="H323" t="s">
        <v>20</v>
      </c>
      <c r="I323">
        <v>1432</v>
      </c>
      <c r="J323" t="s">
        <v>21</v>
      </c>
      <c r="K323">
        <v>0</v>
      </c>
      <c r="M323">
        <v>1688</v>
      </c>
    </row>
    <row r="324" spans="1:13">
      <c r="A324">
        <v>318</v>
      </c>
      <c r="B324">
        <v>55907</v>
      </c>
      <c r="C324" t="s">
        <v>902</v>
      </c>
      <c r="D324" t="s">
        <v>213</v>
      </c>
      <c r="E324" t="s">
        <v>903</v>
      </c>
      <c r="F324" t="str">
        <f>"00363252"</f>
        <v>00363252</v>
      </c>
      <c r="G324" t="s">
        <v>107</v>
      </c>
      <c r="H324" t="s">
        <v>20</v>
      </c>
      <c r="I324">
        <v>1472</v>
      </c>
      <c r="J324" t="s">
        <v>21</v>
      </c>
      <c r="K324">
        <v>0</v>
      </c>
      <c r="L324" t="s">
        <v>88</v>
      </c>
      <c r="M324">
        <v>672</v>
      </c>
    </row>
    <row r="325" spans="1:13">
      <c r="A325">
        <v>319</v>
      </c>
      <c r="B325">
        <v>54546</v>
      </c>
      <c r="C325" t="s">
        <v>904</v>
      </c>
      <c r="D325" t="s">
        <v>905</v>
      </c>
      <c r="E325" t="s">
        <v>906</v>
      </c>
      <c r="F325" t="str">
        <f>"00346988"</f>
        <v>00346988</v>
      </c>
      <c r="G325" t="s">
        <v>600</v>
      </c>
      <c r="H325" t="s">
        <v>366</v>
      </c>
      <c r="I325">
        <v>1694</v>
      </c>
      <c r="J325" t="s">
        <v>21</v>
      </c>
      <c r="K325">
        <v>0</v>
      </c>
      <c r="L325" t="s">
        <v>83</v>
      </c>
      <c r="M325">
        <v>1304</v>
      </c>
    </row>
    <row r="326" spans="1:13">
      <c r="A326">
        <v>320</v>
      </c>
      <c r="B326">
        <v>77667</v>
      </c>
      <c r="C326" t="s">
        <v>907</v>
      </c>
      <c r="D326" t="s">
        <v>180</v>
      </c>
      <c r="E326" t="s">
        <v>908</v>
      </c>
      <c r="F326" t="str">
        <f>"00389821"</f>
        <v>00389821</v>
      </c>
      <c r="G326" t="s">
        <v>371</v>
      </c>
      <c r="H326" t="s">
        <v>20</v>
      </c>
      <c r="I326">
        <v>1526</v>
      </c>
      <c r="J326" t="s">
        <v>21</v>
      </c>
      <c r="K326">
        <v>6</v>
      </c>
      <c r="L326" t="s">
        <v>35</v>
      </c>
      <c r="M326">
        <v>408</v>
      </c>
    </row>
    <row r="327" spans="1:13">
      <c r="A327">
        <v>321</v>
      </c>
      <c r="B327">
        <v>102702</v>
      </c>
      <c r="C327" t="s">
        <v>909</v>
      </c>
      <c r="D327" t="s">
        <v>205</v>
      </c>
      <c r="E327" t="s">
        <v>910</v>
      </c>
      <c r="F327" t="str">
        <f>"00390556"</f>
        <v>00390556</v>
      </c>
      <c r="G327" t="s">
        <v>150</v>
      </c>
      <c r="H327" t="s">
        <v>151</v>
      </c>
      <c r="I327">
        <v>1699</v>
      </c>
      <c r="J327" t="s">
        <v>21</v>
      </c>
      <c r="K327">
        <v>0</v>
      </c>
      <c r="M327">
        <v>1528</v>
      </c>
    </row>
    <row r="328" spans="1:13">
      <c r="A328">
        <v>322</v>
      </c>
      <c r="B328">
        <v>96096</v>
      </c>
      <c r="C328" t="s">
        <v>911</v>
      </c>
      <c r="D328" t="s">
        <v>76</v>
      </c>
      <c r="E328" t="s">
        <v>912</v>
      </c>
      <c r="F328" t="str">
        <f>"201502003947"</f>
        <v>201502003947</v>
      </c>
      <c r="G328" t="s">
        <v>284</v>
      </c>
      <c r="H328" t="s">
        <v>270</v>
      </c>
      <c r="I328">
        <v>1586</v>
      </c>
      <c r="J328" t="s">
        <v>21</v>
      </c>
      <c r="K328">
        <v>0</v>
      </c>
      <c r="L328" t="s">
        <v>35</v>
      </c>
      <c r="M328">
        <v>908</v>
      </c>
    </row>
    <row r="329" spans="1:13">
      <c r="A329">
        <v>323</v>
      </c>
      <c r="B329">
        <v>57950</v>
      </c>
      <c r="C329" t="s">
        <v>913</v>
      </c>
      <c r="D329" t="s">
        <v>914</v>
      </c>
      <c r="E329" t="s">
        <v>915</v>
      </c>
      <c r="F329" t="str">
        <f>"00270999"</f>
        <v>00270999</v>
      </c>
      <c r="G329" t="s">
        <v>561</v>
      </c>
      <c r="H329" t="s">
        <v>20</v>
      </c>
      <c r="I329">
        <v>1574</v>
      </c>
      <c r="J329" t="s">
        <v>21</v>
      </c>
      <c r="K329">
        <v>0</v>
      </c>
      <c r="L329" t="s">
        <v>25</v>
      </c>
      <c r="M329">
        <v>1228</v>
      </c>
    </row>
    <row r="330" spans="1:13">
      <c r="A330">
        <v>324</v>
      </c>
      <c r="B330">
        <v>84263</v>
      </c>
      <c r="C330" t="s">
        <v>916</v>
      </c>
      <c r="D330" t="s">
        <v>914</v>
      </c>
      <c r="E330" t="s">
        <v>917</v>
      </c>
      <c r="F330" t="str">
        <f>"00387390"</f>
        <v>00387390</v>
      </c>
      <c r="G330" t="s">
        <v>230</v>
      </c>
      <c r="H330" t="s">
        <v>20</v>
      </c>
      <c r="I330">
        <v>1545</v>
      </c>
      <c r="J330" t="s">
        <v>21</v>
      </c>
      <c r="K330">
        <v>0</v>
      </c>
      <c r="M330">
        <v>1828</v>
      </c>
    </row>
    <row r="331" spans="1:13">
      <c r="A331">
        <v>325</v>
      </c>
      <c r="B331">
        <v>71120</v>
      </c>
      <c r="C331" t="s">
        <v>918</v>
      </c>
      <c r="D331" t="s">
        <v>655</v>
      </c>
      <c r="E331" t="s">
        <v>919</v>
      </c>
      <c r="F331" t="str">
        <f>"00295617"</f>
        <v>00295617</v>
      </c>
      <c r="G331" t="s">
        <v>718</v>
      </c>
      <c r="H331" t="s">
        <v>48</v>
      </c>
      <c r="I331">
        <v>1625</v>
      </c>
      <c r="J331" t="s">
        <v>21</v>
      </c>
      <c r="K331">
        <v>0</v>
      </c>
      <c r="L331" t="s">
        <v>25</v>
      </c>
      <c r="M331">
        <v>1228</v>
      </c>
    </row>
    <row r="332" spans="1:13">
      <c r="A332">
        <v>326</v>
      </c>
      <c r="B332">
        <v>54155</v>
      </c>
      <c r="C332" t="s">
        <v>920</v>
      </c>
      <c r="D332" t="s">
        <v>105</v>
      </c>
      <c r="E332" t="s">
        <v>921</v>
      </c>
      <c r="F332" t="str">
        <f>"201511022872"</f>
        <v>201511022872</v>
      </c>
      <c r="G332" t="s">
        <v>922</v>
      </c>
      <c r="H332" t="s">
        <v>923</v>
      </c>
      <c r="I332">
        <v>1704</v>
      </c>
      <c r="J332" t="s">
        <v>21</v>
      </c>
      <c r="K332">
        <v>0</v>
      </c>
      <c r="M332">
        <v>1438</v>
      </c>
    </row>
    <row r="333" spans="1:13">
      <c r="A333">
        <v>327</v>
      </c>
      <c r="B333">
        <v>103997</v>
      </c>
      <c r="C333" t="s">
        <v>924</v>
      </c>
      <c r="D333" t="s">
        <v>925</v>
      </c>
      <c r="E333" t="s">
        <v>926</v>
      </c>
      <c r="F333" t="str">
        <f>"00046601"</f>
        <v>00046601</v>
      </c>
      <c r="G333" t="s">
        <v>352</v>
      </c>
      <c r="H333" t="s">
        <v>20</v>
      </c>
      <c r="I333">
        <v>1471</v>
      </c>
      <c r="J333" t="s">
        <v>21</v>
      </c>
      <c r="K333">
        <v>0</v>
      </c>
      <c r="L333" t="s">
        <v>83</v>
      </c>
      <c r="M333">
        <v>1260</v>
      </c>
    </row>
    <row r="334" spans="1:13">
      <c r="A334">
        <v>328</v>
      </c>
      <c r="B334">
        <v>112731</v>
      </c>
      <c r="C334" t="s">
        <v>927</v>
      </c>
      <c r="D334" t="s">
        <v>928</v>
      </c>
      <c r="E334" t="s">
        <v>929</v>
      </c>
      <c r="F334" t="str">
        <f>"00385064"</f>
        <v>00385064</v>
      </c>
      <c r="G334" t="s">
        <v>82</v>
      </c>
      <c r="H334" t="s">
        <v>20</v>
      </c>
      <c r="I334">
        <v>1475</v>
      </c>
      <c r="J334" t="s">
        <v>21</v>
      </c>
      <c r="K334">
        <v>0</v>
      </c>
      <c r="L334" t="s">
        <v>112</v>
      </c>
      <c r="M334">
        <v>808</v>
      </c>
    </row>
    <row r="335" spans="1:13">
      <c r="A335">
        <v>329</v>
      </c>
      <c r="B335">
        <v>61829</v>
      </c>
      <c r="C335" t="s">
        <v>930</v>
      </c>
      <c r="D335" t="s">
        <v>931</v>
      </c>
      <c r="E335" t="s">
        <v>932</v>
      </c>
      <c r="F335" t="str">
        <f>"201412003684"</f>
        <v>201412003684</v>
      </c>
      <c r="G335" t="s">
        <v>380</v>
      </c>
      <c r="H335" t="s">
        <v>20</v>
      </c>
      <c r="I335">
        <v>1496</v>
      </c>
      <c r="J335" t="s">
        <v>21</v>
      </c>
      <c r="K335">
        <v>0</v>
      </c>
      <c r="M335">
        <v>1820</v>
      </c>
    </row>
    <row r="336" spans="1:13">
      <c r="A336">
        <v>330</v>
      </c>
      <c r="B336">
        <v>57423</v>
      </c>
      <c r="C336" t="s">
        <v>933</v>
      </c>
      <c r="D336" t="s">
        <v>914</v>
      </c>
      <c r="E336" t="s">
        <v>934</v>
      </c>
      <c r="F336" t="str">
        <f>"00369647"</f>
        <v>00369647</v>
      </c>
      <c r="G336" t="s">
        <v>38</v>
      </c>
      <c r="H336" t="s">
        <v>39</v>
      </c>
      <c r="I336">
        <v>1634</v>
      </c>
      <c r="J336" t="s">
        <v>21</v>
      </c>
      <c r="K336">
        <v>6</v>
      </c>
      <c r="M336">
        <v>1211</v>
      </c>
    </row>
    <row r="337" spans="1:13">
      <c r="A337">
        <v>331</v>
      </c>
      <c r="B337">
        <v>84766</v>
      </c>
      <c r="C337" t="s">
        <v>935</v>
      </c>
      <c r="D337" t="s">
        <v>121</v>
      </c>
      <c r="E337" t="s">
        <v>936</v>
      </c>
      <c r="F337" t="str">
        <f>"00387425"</f>
        <v>00387425</v>
      </c>
      <c r="G337" t="s">
        <v>540</v>
      </c>
      <c r="H337" t="s">
        <v>20</v>
      </c>
      <c r="I337">
        <v>1435</v>
      </c>
      <c r="J337" t="s">
        <v>21</v>
      </c>
      <c r="K337">
        <v>0</v>
      </c>
      <c r="L337" t="s">
        <v>88</v>
      </c>
      <c r="M337">
        <v>600</v>
      </c>
    </row>
    <row r="338" spans="1:13">
      <c r="A338">
        <v>332</v>
      </c>
      <c r="B338">
        <v>108849</v>
      </c>
      <c r="C338" t="s">
        <v>937</v>
      </c>
      <c r="D338" t="s">
        <v>938</v>
      </c>
      <c r="E338" t="s">
        <v>939</v>
      </c>
      <c r="F338" t="str">
        <f>"00419597"</f>
        <v>00419597</v>
      </c>
      <c r="G338" t="s">
        <v>38</v>
      </c>
      <c r="H338" t="s">
        <v>39</v>
      </c>
      <c r="I338">
        <v>1634</v>
      </c>
      <c r="J338" t="s">
        <v>21</v>
      </c>
      <c r="K338">
        <v>6</v>
      </c>
      <c r="L338" t="s">
        <v>112</v>
      </c>
      <c r="M338">
        <v>408</v>
      </c>
    </row>
    <row r="339" spans="1:13">
      <c r="A339">
        <v>333</v>
      </c>
      <c r="B339">
        <v>92079</v>
      </c>
      <c r="C339" t="s">
        <v>940</v>
      </c>
      <c r="D339" t="s">
        <v>76</v>
      </c>
      <c r="E339" t="s">
        <v>941</v>
      </c>
      <c r="F339" t="str">
        <f>"00389428"</f>
        <v>00389428</v>
      </c>
      <c r="G339" t="s">
        <v>325</v>
      </c>
      <c r="H339" t="s">
        <v>326</v>
      </c>
      <c r="I339">
        <v>1592</v>
      </c>
      <c r="J339" t="s">
        <v>21</v>
      </c>
      <c r="K339">
        <v>0</v>
      </c>
      <c r="L339" t="s">
        <v>83</v>
      </c>
      <c r="M339">
        <v>1468</v>
      </c>
    </row>
    <row r="340" spans="1:13">
      <c r="A340">
        <v>334</v>
      </c>
      <c r="B340">
        <v>94981</v>
      </c>
      <c r="C340" t="s">
        <v>942</v>
      </c>
      <c r="D340" t="s">
        <v>563</v>
      </c>
      <c r="E340" t="s">
        <v>943</v>
      </c>
      <c r="F340" t="str">
        <f>"201511012171"</f>
        <v>201511012171</v>
      </c>
      <c r="G340" t="s">
        <v>155</v>
      </c>
      <c r="H340" t="s">
        <v>156</v>
      </c>
      <c r="I340">
        <v>1342</v>
      </c>
      <c r="J340" t="s">
        <v>21</v>
      </c>
      <c r="K340">
        <v>0</v>
      </c>
      <c r="L340" t="s">
        <v>35</v>
      </c>
      <c r="M340">
        <v>1158</v>
      </c>
    </row>
    <row r="341" spans="1:13">
      <c r="A341">
        <v>335</v>
      </c>
      <c r="B341">
        <v>64223</v>
      </c>
      <c r="C341" t="s">
        <v>944</v>
      </c>
      <c r="D341" t="s">
        <v>94</v>
      </c>
      <c r="E341" t="s">
        <v>945</v>
      </c>
      <c r="F341" t="str">
        <f>"201406009890"</f>
        <v>201406009890</v>
      </c>
      <c r="G341" t="s">
        <v>418</v>
      </c>
      <c r="H341" t="s">
        <v>234</v>
      </c>
      <c r="I341">
        <v>1335</v>
      </c>
      <c r="J341" t="s">
        <v>21</v>
      </c>
      <c r="K341">
        <v>6</v>
      </c>
      <c r="L341" t="s">
        <v>35</v>
      </c>
      <c r="M341">
        <v>908</v>
      </c>
    </row>
    <row r="342" spans="1:13">
      <c r="A342">
        <v>336</v>
      </c>
      <c r="B342">
        <v>57104</v>
      </c>
      <c r="C342" t="s">
        <v>946</v>
      </c>
      <c r="D342" t="s">
        <v>947</v>
      </c>
      <c r="E342" t="s">
        <v>948</v>
      </c>
      <c r="F342" t="str">
        <f>"201411003487"</f>
        <v>201411003487</v>
      </c>
      <c r="G342" t="s">
        <v>949</v>
      </c>
      <c r="H342" t="s">
        <v>20</v>
      </c>
      <c r="I342">
        <v>1450</v>
      </c>
      <c r="J342" t="s">
        <v>21</v>
      </c>
      <c r="K342">
        <v>6</v>
      </c>
      <c r="M342">
        <v>1668</v>
      </c>
    </row>
    <row r="343" spans="1:13">
      <c r="A343">
        <v>337</v>
      </c>
      <c r="B343">
        <v>49294</v>
      </c>
      <c r="C343" t="s">
        <v>950</v>
      </c>
      <c r="D343" t="s">
        <v>951</v>
      </c>
      <c r="E343" t="s">
        <v>952</v>
      </c>
      <c r="F343" t="str">
        <f>"00372735"</f>
        <v>00372735</v>
      </c>
      <c r="G343" t="s">
        <v>125</v>
      </c>
      <c r="H343" t="s">
        <v>20</v>
      </c>
      <c r="I343">
        <v>1507</v>
      </c>
      <c r="J343" t="s">
        <v>21</v>
      </c>
      <c r="K343">
        <v>0</v>
      </c>
      <c r="M343">
        <v>1598</v>
      </c>
    </row>
    <row r="344" spans="1:13">
      <c r="A344">
        <v>338</v>
      </c>
      <c r="B344">
        <v>73021</v>
      </c>
      <c r="C344" t="s">
        <v>953</v>
      </c>
      <c r="D344" t="s">
        <v>153</v>
      </c>
      <c r="E344" t="s">
        <v>954</v>
      </c>
      <c r="F344" t="str">
        <f>"00284151"</f>
        <v>00284151</v>
      </c>
      <c r="G344" t="s">
        <v>955</v>
      </c>
      <c r="H344" t="s">
        <v>274</v>
      </c>
      <c r="I344">
        <v>1391</v>
      </c>
      <c r="J344" t="s">
        <v>21</v>
      </c>
      <c r="K344">
        <v>0</v>
      </c>
      <c r="M344">
        <v>1428</v>
      </c>
    </row>
    <row r="345" spans="1:13">
      <c r="A345">
        <v>339</v>
      </c>
      <c r="B345">
        <v>112113</v>
      </c>
      <c r="C345" t="s">
        <v>956</v>
      </c>
      <c r="D345" t="s">
        <v>153</v>
      </c>
      <c r="E345" t="s">
        <v>957</v>
      </c>
      <c r="F345" t="str">
        <f>"00411032"</f>
        <v>00411032</v>
      </c>
      <c r="G345" t="s">
        <v>29</v>
      </c>
      <c r="H345" t="s">
        <v>20</v>
      </c>
      <c r="I345">
        <v>1446</v>
      </c>
      <c r="J345" t="s">
        <v>21</v>
      </c>
      <c r="K345">
        <v>0</v>
      </c>
      <c r="M345">
        <v>1388</v>
      </c>
    </row>
    <row r="346" spans="1:13">
      <c r="A346">
        <v>340</v>
      </c>
      <c r="B346">
        <v>55959</v>
      </c>
      <c r="C346" t="s">
        <v>958</v>
      </c>
      <c r="D346" t="s">
        <v>109</v>
      </c>
      <c r="E346" t="s">
        <v>959</v>
      </c>
      <c r="F346" t="str">
        <f>"00247958"</f>
        <v>00247958</v>
      </c>
      <c r="G346" t="s">
        <v>155</v>
      </c>
      <c r="H346" t="s">
        <v>156</v>
      </c>
      <c r="I346">
        <v>1342</v>
      </c>
      <c r="J346" t="s">
        <v>21</v>
      </c>
      <c r="K346">
        <v>0</v>
      </c>
      <c r="L346" t="s">
        <v>83</v>
      </c>
      <c r="M346">
        <v>1383</v>
      </c>
    </row>
    <row r="347" spans="1:13">
      <c r="A347">
        <v>341</v>
      </c>
      <c r="B347">
        <v>110444</v>
      </c>
      <c r="C347" t="s">
        <v>960</v>
      </c>
      <c r="D347" t="s">
        <v>566</v>
      </c>
      <c r="E347" t="s">
        <v>961</v>
      </c>
      <c r="F347" t="str">
        <f>"00419367"</f>
        <v>00419367</v>
      </c>
      <c r="G347" t="s">
        <v>107</v>
      </c>
      <c r="H347" t="s">
        <v>20</v>
      </c>
      <c r="I347">
        <v>1472</v>
      </c>
      <c r="J347" t="s">
        <v>21</v>
      </c>
      <c r="K347">
        <v>0</v>
      </c>
      <c r="M347">
        <v>1374</v>
      </c>
    </row>
    <row r="348" spans="1:13">
      <c r="A348">
        <v>342</v>
      </c>
      <c r="B348">
        <v>75944</v>
      </c>
      <c r="C348" t="s">
        <v>962</v>
      </c>
      <c r="D348" t="s">
        <v>76</v>
      </c>
      <c r="E348" t="s">
        <v>963</v>
      </c>
      <c r="F348" t="str">
        <f>"00045582"</f>
        <v>00045582</v>
      </c>
      <c r="G348" t="s">
        <v>92</v>
      </c>
      <c r="H348" t="s">
        <v>964</v>
      </c>
      <c r="I348">
        <v>1720</v>
      </c>
      <c r="J348" t="s">
        <v>21</v>
      </c>
      <c r="K348">
        <v>0</v>
      </c>
      <c r="M348">
        <v>2088</v>
      </c>
    </row>
    <row r="349" spans="1:13">
      <c r="A349">
        <v>343</v>
      </c>
      <c r="B349">
        <v>65663</v>
      </c>
      <c r="C349" t="s">
        <v>965</v>
      </c>
      <c r="D349" t="s">
        <v>105</v>
      </c>
      <c r="E349" t="s">
        <v>966</v>
      </c>
      <c r="F349" t="str">
        <f>"00268259"</f>
        <v>00268259</v>
      </c>
      <c r="G349" t="s">
        <v>329</v>
      </c>
      <c r="H349" t="s">
        <v>20</v>
      </c>
      <c r="I349">
        <v>1509</v>
      </c>
      <c r="J349" t="s">
        <v>21</v>
      </c>
      <c r="K349">
        <v>0</v>
      </c>
      <c r="L349" t="s">
        <v>35</v>
      </c>
      <c r="M349">
        <v>1000</v>
      </c>
    </row>
    <row r="350" spans="1:13">
      <c r="A350">
        <v>344</v>
      </c>
      <c r="B350">
        <v>99571</v>
      </c>
      <c r="C350" t="s">
        <v>967</v>
      </c>
      <c r="D350" t="s">
        <v>105</v>
      </c>
      <c r="E350" t="s">
        <v>968</v>
      </c>
      <c r="F350" t="str">
        <f>"00395849"</f>
        <v>00395849</v>
      </c>
      <c r="G350" t="s">
        <v>527</v>
      </c>
      <c r="H350" t="s">
        <v>20</v>
      </c>
      <c r="I350">
        <v>1568</v>
      </c>
      <c r="J350" t="s">
        <v>21</v>
      </c>
      <c r="K350">
        <v>0</v>
      </c>
      <c r="M350">
        <v>1368</v>
      </c>
    </row>
    <row r="351" spans="1:13">
      <c r="A351">
        <v>345</v>
      </c>
      <c r="B351">
        <v>112999</v>
      </c>
      <c r="C351" t="s">
        <v>969</v>
      </c>
      <c r="D351" t="s">
        <v>180</v>
      </c>
      <c r="E351" t="s">
        <v>970</v>
      </c>
      <c r="F351" t="str">
        <f>"00416555"</f>
        <v>00416555</v>
      </c>
      <c r="G351" t="s">
        <v>971</v>
      </c>
      <c r="H351" t="s">
        <v>48</v>
      </c>
      <c r="I351">
        <v>1624</v>
      </c>
      <c r="J351" t="s">
        <v>21</v>
      </c>
      <c r="K351">
        <v>0</v>
      </c>
      <c r="L351" t="s">
        <v>59</v>
      </c>
      <c r="M351">
        <v>934</v>
      </c>
    </row>
    <row r="352" spans="1:13">
      <c r="A352">
        <v>346</v>
      </c>
      <c r="B352">
        <v>84332</v>
      </c>
      <c r="C352" t="s">
        <v>972</v>
      </c>
      <c r="D352" t="s">
        <v>180</v>
      </c>
      <c r="E352" t="s">
        <v>973</v>
      </c>
      <c r="F352" t="str">
        <f>"00024455"</f>
        <v>00024455</v>
      </c>
      <c r="G352" t="s">
        <v>974</v>
      </c>
      <c r="H352" t="s">
        <v>20</v>
      </c>
      <c r="I352">
        <v>1449</v>
      </c>
      <c r="J352" t="s">
        <v>21</v>
      </c>
      <c r="K352">
        <v>6</v>
      </c>
      <c r="L352" t="s">
        <v>35</v>
      </c>
      <c r="M352">
        <v>808</v>
      </c>
    </row>
    <row r="353" spans="1:13">
      <c r="A353">
        <v>347</v>
      </c>
      <c r="B353">
        <v>96490</v>
      </c>
      <c r="C353" t="s">
        <v>975</v>
      </c>
      <c r="D353" t="s">
        <v>130</v>
      </c>
      <c r="E353" t="s">
        <v>976</v>
      </c>
      <c r="F353" t="str">
        <f>"00387646"</f>
        <v>00387646</v>
      </c>
      <c r="G353" t="s">
        <v>341</v>
      </c>
      <c r="H353" t="s">
        <v>20</v>
      </c>
      <c r="I353">
        <v>1553</v>
      </c>
      <c r="J353" t="s">
        <v>21</v>
      </c>
      <c r="K353">
        <v>6</v>
      </c>
      <c r="L353" t="s">
        <v>35</v>
      </c>
      <c r="M353">
        <v>808</v>
      </c>
    </row>
    <row r="354" spans="1:13">
      <c r="A354">
        <v>348</v>
      </c>
      <c r="B354">
        <v>116016</v>
      </c>
      <c r="C354" t="s">
        <v>977</v>
      </c>
      <c r="D354" t="s">
        <v>180</v>
      </c>
      <c r="E354" t="s">
        <v>978</v>
      </c>
      <c r="F354" t="str">
        <f>"00409280"</f>
        <v>00409280</v>
      </c>
      <c r="G354" t="s">
        <v>42</v>
      </c>
      <c r="H354" t="s">
        <v>43</v>
      </c>
      <c r="I354">
        <v>1712</v>
      </c>
      <c r="J354" t="s">
        <v>21</v>
      </c>
      <c r="K354">
        <v>0</v>
      </c>
      <c r="M354">
        <v>1732</v>
      </c>
    </row>
    <row r="355" spans="1:13">
      <c r="A355">
        <v>349</v>
      </c>
      <c r="B355">
        <v>56866</v>
      </c>
      <c r="C355" t="s">
        <v>979</v>
      </c>
      <c r="D355" t="s">
        <v>180</v>
      </c>
      <c r="E355" t="s">
        <v>980</v>
      </c>
      <c r="F355" t="str">
        <f>"00299849"</f>
        <v>00299849</v>
      </c>
      <c r="G355" t="s">
        <v>42</v>
      </c>
      <c r="H355" t="s">
        <v>43</v>
      </c>
      <c r="I355">
        <v>1712</v>
      </c>
      <c r="J355" t="s">
        <v>21</v>
      </c>
      <c r="K355">
        <v>0</v>
      </c>
      <c r="M355">
        <v>1728</v>
      </c>
    </row>
    <row r="356" spans="1:13">
      <c r="A356">
        <v>350</v>
      </c>
      <c r="B356">
        <v>53354</v>
      </c>
      <c r="C356" t="s">
        <v>981</v>
      </c>
      <c r="D356" t="s">
        <v>105</v>
      </c>
      <c r="E356" t="s">
        <v>982</v>
      </c>
      <c r="F356" t="str">
        <f>"00127718"</f>
        <v>00127718</v>
      </c>
      <c r="G356" t="s">
        <v>760</v>
      </c>
      <c r="H356" t="s">
        <v>20</v>
      </c>
      <c r="I356">
        <v>1432</v>
      </c>
      <c r="J356" t="s">
        <v>21</v>
      </c>
      <c r="K356">
        <v>0</v>
      </c>
      <c r="L356" t="s">
        <v>88</v>
      </c>
      <c r="M356">
        <v>575</v>
      </c>
    </row>
    <row r="357" spans="1:13">
      <c r="A357">
        <v>351</v>
      </c>
      <c r="B357">
        <v>87158</v>
      </c>
      <c r="C357" t="s">
        <v>983</v>
      </c>
      <c r="D357" t="s">
        <v>80</v>
      </c>
      <c r="E357" t="s">
        <v>984</v>
      </c>
      <c r="F357" t="str">
        <f>"00409186"</f>
        <v>00409186</v>
      </c>
      <c r="G357" t="s">
        <v>985</v>
      </c>
      <c r="H357" t="s">
        <v>20</v>
      </c>
      <c r="I357">
        <v>1550</v>
      </c>
      <c r="J357" t="s">
        <v>21</v>
      </c>
      <c r="K357">
        <v>6</v>
      </c>
      <c r="M357">
        <v>1238</v>
      </c>
    </row>
    <row r="358" spans="1:13">
      <c r="A358">
        <v>352</v>
      </c>
      <c r="B358">
        <v>104552</v>
      </c>
      <c r="C358" t="s">
        <v>986</v>
      </c>
      <c r="D358" t="s">
        <v>80</v>
      </c>
      <c r="E358" t="s">
        <v>987</v>
      </c>
      <c r="F358" t="str">
        <f>"00376748"</f>
        <v>00376748</v>
      </c>
      <c r="G358" t="s">
        <v>583</v>
      </c>
      <c r="H358" t="s">
        <v>137</v>
      </c>
      <c r="I358">
        <v>1601</v>
      </c>
      <c r="J358" t="s">
        <v>21</v>
      </c>
      <c r="K358">
        <v>0</v>
      </c>
      <c r="L358" t="s">
        <v>35</v>
      </c>
      <c r="M358">
        <v>908</v>
      </c>
    </row>
    <row r="359" spans="1:13">
      <c r="A359">
        <v>353</v>
      </c>
      <c r="B359">
        <v>102117</v>
      </c>
      <c r="C359" t="s">
        <v>988</v>
      </c>
      <c r="D359" t="s">
        <v>180</v>
      </c>
      <c r="E359" t="s">
        <v>989</v>
      </c>
      <c r="F359" t="str">
        <f>"00388736"</f>
        <v>00388736</v>
      </c>
      <c r="G359" t="s">
        <v>600</v>
      </c>
      <c r="H359" t="s">
        <v>366</v>
      </c>
      <c r="I359">
        <v>1694</v>
      </c>
      <c r="J359" t="s">
        <v>21</v>
      </c>
      <c r="K359">
        <v>0</v>
      </c>
      <c r="M359">
        <v>1383</v>
      </c>
    </row>
    <row r="360" spans="1:13">
      <c r="A360">
        <v>354</v>
      </c>
      <c r="B360">
        <v>89964</v>
      </c>
      <c r="C360" t="s">
        <v>990</v>
      </c>
      <c r="D360" t="s">
        <v>85</v>
      </c>
      <c r="E360" t="s">
        <v>991</v>
      </c>
      <c r="F360" t="str">
        <f>"00248898"</f>
        <v>00248898</v>
      </c>
      <c r="G360" t="s">
        <v>358</v>
      </c>
      <c r="H360" t="s">
        <v>20</v>
      </c>
      <c r="I360">
        <v>1549</v>
      </c>
      <c r="J360" t="s">
        <v>21</v>
      </c>
      <c r="K360">
        <v>0</v>
      </c>
      <c r="L360" t="s">
        <v>35</v>
      </c>
      <c r="M360">
        <v>908</v>
      </c>
    </row>
    <row r="361" spans="1:13">
      <c r="A361">
        <v>355</v>
      </c>
      <c r="B361">
        <v>100508</v>
      </c>
      <c r="C361" t="s">
        <v>992</v>
      </c>
      <c r="D361" t="s">
        <v>76</v>
      </c>
      <c r="E361" t="s">
        <v>993</v>
      </c>
      <c r="F361" t="str">
        <f>"00369959"</f>
        <v>00369959</v>
      </c>
      <c r="G361" t="s">
        <v>994</v>
      </c>
      <c r="H361" t="s">
        <v>20</v>
      </c>
      <c r="I361">
        <v>1522</v>
      </c>
      <c r="J361" t="s">
        <v>21</v>
      </c>
      <c r="K361">
        <v>0</v>
      </c>
      <c r="M361">
        <v>1348</v>
      </c>
    </row>
    <row r="362" spans="1:13">
      <c r="A362">
        <v>356</v>
      </c>
      <c r="B362">
        <v>69356</v>
      </c>
      <c r="C362" t="s">
        <v>995</v>
      </c>
      <c r="D362" t="s">
        <v>563</v>
      </c>
      <c r="E362" t="s">
        <v>996</v>
      </c>
      <c r="F362" t="str">
        <f>"201510001398"</f>
        <v>201510001398</v>
      </c>
      <c r="G362" t="s">
        <v>997</v>
      </c>
      <c r="H362" t="s">
        <v>469</v>
      </c>
      <c r="I362">
        <v>1377</v>
      </c>
      <c r="J362" t="s">
        <v>21</v>
      </c>
      <c r="K362">
        <v>0</v>
      </c>
      <c r="M362">
        <v>1408</v>
      </c>
    </row>
    <row r="363" spans="1:13">
      <c r="A363">
        <v>357</v>
      </c>
      <c r="B363">
        <v>96619</v>
      </c>
      <c r="C363" t="s">
        <v>998</v>
      </c>
      <c r="D363" t="s">
        <v>121</v>
      </c>
      <c r="E363" t="s">
        <v>999</v>
      </c>
      <c r="F363" t="str">
        <f>"00369773"</f>
        <v>00369773</v>
      </c>
      <c r="G363" t="s">
        <v>19</v>
      </c>
      <c r="H363" t="s">
        <v>20</v>
      </c>
      <c r="I363">
        <v>1531</v>
      </c>
      <c r="J363" t="s">
        <v>21</v>
      </c>
      <c r="K363">
        <v>0</v>
      </c>
      <c r="L363" t="s">
        <v>35</v>
      </c>
      <c r="M363">
        <v>908</v>
      </c>
    </row>
    <row r="364" spans="1:13">
      <c r="A364">
        <v>358</v>
      </c>
      <c r="B364">
        <v>97259</v>
      </c>
      <c r="C364" t="s">
        <v>1000</v>
      </c>
      <c r="D364" t="s">
        <v>1001</v>
      </c>
      <c r="E364" t="s">
        <v>1002</v>
      </c>
      <c r="F364" t="str">
        <f>"00405994"</f>
        <v>00405994</v>
      </c>
      <c r="G364" t="s">
        <v>107</v>
      </c>
      <c r="H364" t="s">
        <v>20</v>
      </c>
      <c r="I364">
        <v>1472</v>
      </c>
      <c r="J364" t="s">
        <v>21</v>
      </c>
      <c r="K364">
        <v>0</v>
      </c>
      <c r="L364" t="s">
        <v>59</v>
      </c>
      <c r="M364">
        <v>1128</v>
      </c>
    </row>
    <row r="365" spans="1:13">
      <c r="A365">
        <v>359</v>
      </c>
      <c r="B365">
        <v>113116</v>
      </c>
      <c r="C365" t="s">
        <v>1003</v>
      </c>
      <c r="D365" t="s">
        <v>145</v>
      </c>
      <c r="E365" t="s">
        <v>1004</v>
      </c>
      <c r="F365" t="str">
        <f>"00416208"</f>
        <v>00416208</v>
      </c>
      <c r="G365" t="s">
        <v>1005</v>
      </c>
      <c r="H365" t="s">
        <v>20</v>
      </c>
      <c r="I365">
        <v>1580</v>
      </c>
      <c r="J365" t="s">
        <v>21</v>
      </c>
      <c r="K365">
        <v>6</v>
      </c>
      <c r="M365">
        <v>1469</v>
      </c>
    </row>
    <row r="366" spans="1:13">
      <c r="A366">
        <v>360</v>
      </c>
      <c r="B366">
        <v>64177</v>
      </c>
      <c r="C366" t="s">
        <v>1006</v>
      </c>
      <c r="D366" t="s">
        <v>105</v>
      </c>
      <c r="E366" t="s">
        <v>1007</v>
      </c>
      <c r="F366" t="str">
        <f>"201511020792"</f>
        <v>201511020792</v>
      </c>
      <c r="G366" t="s">
        <v>96</v>
      </c>
      <c r="H366" t="s">
        <v>20</v>
      </c>
      <c r="I366">
        <v>1474</v>
      </c>
      <c r="J366" t="s">
        <v>21</v>
      </c>
      <c r="K366">
        <v>0</v>
      </c>
      <c r="L366" t="s">
        <v>88</v>
      </c>
      <c r="M366">
        <v>808</v>
      </c>
    </row>
    <row r="367" spans="1:13">
      <c r="A367">
        <v>361</v>
      </c>
      <c r="B367">
        <v>57368</v>
      </c>
      <c r="C367" t="s">
        <v>1008</v>
      </c>
      <c r="D367" t="s">
        <v>213</v>
      </c>
      <c r="E367" t="s">
        <v>1009</v>
      </c>
      <c r="F367" t="str">
        <f>"00312460"</f>
        <v>00312460</v>
      </c>
      <c r="G367" t="s">
        <v>29</v>
      </c>
      <c r="H367" t="s">
        <v>20</v>
      </c>
      <c r="I367">
        <v>1446</v>
      </c>
      <c r="J367" t="s">
        <v>21</v>
      </c>
      <c r="K367">
        <v>0</v>
      </c>
      <c r="L367" t="s">
        <v>35</v>
      </c>
      <c r="M367">
        <v>1000</v>
      </c>
    </row>
    <row r="368" spans="1:13">
      <c r="A368">
        <v>362</v>
      </c>
      <c r="B368">
        <v>56287</v>
      </c>
      <c r="C368" t="s">
        <v>1010</v>
      </c>
      <c r="D368" t="s">
        <v>153</v>
      </c>
      <c r="E368" t="s">
        <v>1011</v>
      </c>
      <c r="F368" t="str">
        <f>"00366587"</f>
        <v>00366587</v>
      </c>
      <c r="G368" t="s">
        <v>47</v>
      </c>
      <c r="H368" t="s">
        <v>48</v>
      </c>
      <c r="I368">
        <v>1623</v>
      </c>
      <c r="J368" t="s">
        <v>21</v>
      </c>
      <c r="K368">
        <v>0</v>
      </c>
      <c r="L368" t="s">
        <v>83</v>
      </c>
      <c r="M368">
        <v>1239</v>
      </c>
    </row>
    <row r="369" spans="1:13">
      <c r="A369">
        <v>363</v>
      </c>
      <c r="B369">
        <v>50874</v>
      </c>
      <c r="C369" t="s">
        <v>1012</v>
      </c>
      <c r="D369" t="s">
        <v>213</v>
      </c>
      <c r="E369" t="s">
        <v>1013</v>
      </c>
      <c r="F369" t="str">
        <f>"00354756"</f>
        <v>00354756</v>
      </c>
      <c r="G369" t="s">
        <v>955</v>
      </c>
      <c r="H369" t="s">
        <v>48</v>
      </c>
      <c r="I369">
        <v>1630</v>
      </c>
      <c r="J369" t="s">
        <v>21</v>
      </c>
      <c r="K369">
        <v>0</v>
      </c>
      <c r="L369" t="s">
        <v>59</v>
      </c>
      <c r="M369">
        <v>1150</v>
      </c>
    </row>
    <row r="370" spans="1:13">
      <c r="A370">
        <v>364</v>
      </c>
      <c r="B370">
        <v>111773</v>
      </c>
      <c r="C370" t="s">
        <v>1014</v>
      </c>
      <c r="D370" t="s">
        <v>102</v>
      </c>
      <c r="E370" t="s">
        <v>1015</v>
      </c>
      <c r="F370" t="str">
        <f>"00370230"</f>
        <v>00370230</v>
      </c>
      <c r="G370" t="s">
        <v>24</v>
      </c>
      <c r="H370" t="s">
        <v>20</v>
      </c>
      <c r="I370">
        <v>1577</v>
      </c>
      <c r="J370" t="s">
        <v>21</v>
      </c>
      <c r="K370">
        <v>0</v>
      </c>
      <c r="L370" t="s">
        <v>35</v>
      </c>
      <c r="M370">
        <v>868</v>
      </c>
    </row>
    <row r="371" spans="1:13">
      <c r="A371">
        <v>365</v>
      </c>
      <c r="B371">
        <v>47295</v>
      </c>
      <c r="C371" t="s">
        <v>1016</v>
      </c>
      <c r="D371" t="s">
        <v>180</v>
      </c>
      <c r="E371" t="s">
        <v>1017</v>
      </c>
      <c r="F371" t="str">
        <f>"00348130"</f>
        <v>00348130</v>
      </c>
      <c r="G371" t="s">
        <v>1018</v>
      </c>
      <c r="H371" t="s">
        <v>20</v>
      </c>
      <c r="I371">
        <v>1523</v>
      </c>
      <c r="J371" t="s">
        <v>21</v>
      </c>
      <c r="K371">
        <v>6</v>
      </c>
      <c r="M371">
        <v>1086</v>
      </c>
    </row>
    <row r="372" spans="1:13">
      <c r="A372">
        <v>366</v>
      </c>
      <c r="B372">
        <v>61590</v>
      </c>
      <c r="C372" t="s">
        <v>1019</v>
      </c>
      <c r="D372" t="s">
        <v>209</v>
      </c>
      <c r="E372" t="s">
        <v>1020</v>
      </c>
      <c r="F372" t="str">
        <f>"00348260"</f>
        <v>00348260</v>
      </c>
      <c r="G372" t="s">
        <v>211</v>
      </c>
      <c r="H372" t="s">
        <v>48</v>
      </c>
      <c r="I372">
        <v>1628</v>
      </c>
      <c r="J372" t="s">
        <v>21</v>
      </c>
      <c r="K372">
        <v>0</v>
      </c>
      <c r="L372" t="s">
        <v>88</v>
      </c>
      <c r="M372">
        <v>485</v>
      </c>
    </row>
    <row r="373" spans="1:13">
      <c r="A373">
        <v>367</v>
      </c>
      <c r="B373">
        <v>85735</v>
      </c>
      <c r="C373" t="s">
        <v>1021</v>
      </c>
      <c r="D373" t="s">
        <v>243</v>
      </c>
      <c r="E373" t="s">
        <v>1022</v>
      </c>
      <c r="F373" t="str">
        <f>"00390793"</f>
        <v>00390793</v>
      </c>
      <c r="G373" t="s">
        <v>245</v>
      </c>
      <c r="H373" t="s">
        <v>20</v>
      </c>
      <c r="I373">
        <v>1406</v>
      </c>
      <c r="J373" t="s">
        <v>21</v>
      </c>
      <c r="K373">
        <v>0</v>
      </c>
      <c r="L373" t="s">
        <v>59</v>
      </c>
      <c r="M373">
        <v>1318</v>
      </c>
    </row>
    <row r="374" spans="1:13">
      <c r="A374">
        <v>368</v>
      </c>
      <c r="B374">
        <v>58281</v>
      </c>
      <c r="C374" t="s">
        <v>1023</v>
      </c>
      <c r="D374" t="s">
        <v>163</v>
      </c>
      <c r="E374" t="s">
        <v>1024</v>
      </c>
      <c r="F374" t="str">
        <f>"00023899"</f>
        <v>00023899</v>
      </c>
      <c r="G374" t="s">
        <v>203</v>
      </c>
      <c r="H374" t="s">
        <v>20</v>
      </c>
      <c r="I374">
        <v>1476</v>
      </c>
      <c r="J374" t="s">
        <v>21</v>
      </c>
      <c r="K374">
        <v>6</v>
      </c>
      <c r="L374" t="s">
        <v>59</v>
      </c>
      <c r="M374">
        <v>0</v>
      </c>
    </row>
    <row r="375" spans="1:13">
      <c r="A375">
        <v>369</v>
      </c>
      <c r="B375">
        <v>93410</v>
      </c>
      <c r="C375" t="s">
        <v>1025</v>
      </c>
      <c r="D375" t="s">
        <v>180</v>
      </c>
      <c r="E375" t="s">
        <v>1026</v>
      </c>
      <c r="F375" t="str">
        <f>"00392941"</f>
        <v>00392941</v>
      </c>
      <c r="G375" t="s">
        <v>955</v>
      </c>
      <c r="H375" t="s">
        <v>48</v>
      </c>
      <c r="I375">
        <v>1630</v>
      </c>
      <c r="J375" t="s">
        <v>21</v>
      </c>
      <c r="K375">
        <v>0</v>
      </c>
      <c r="M375">
        <v>1478</v>
      </c>
    </row>
    <row r="376" spans="1:13">
      <c r="A376">
        <v>370</v>
      </c>
      <c r="B376">
        <v>89984</v>
      </c>
      <c r="C376" t="s">
        <v>1027</v>
      </c>
      <c r="D376" t="s">
        <v>288</v>
      </c>
      <c r="E376" t="s">
        <v>1028</v>
      </c>
      <c r="F376" t="str">
        <f>"00025113"</f>
        <v>00025113</v>
      </c>
      <c r="G376" t="s">
        <v>307</v>
      </c>
      <c r="H376" t="s">
        <v>326</v>
      </c>
      <c r="I376">
        <v>1594</v>
      </c>
      <c r="J376" t="s">
        <v>21</v>
      </c>
      <c r="K376">
        <v>0</v>
      </c>
      <c r="L376" t="s">
        <v>35</v>
      </c>
      <c r="M376">
        <v>900</v>
      </c>
    </row>
    <row r="377" spans="1:13">
      <c r="A377">
        <v>371</v>
      </c>
      <c r="B377">
        <v>74848</v>
      </c>
      <c r="C377" t="s">
        <v>1029</v>
      </c>
      <c r="D377" t="s">
        <v>80</v>
      </c>
      <c r="E377" t="s">
        <v>1030</v>
      </c>
      <c r="F377" t="str">
        <f>"201410007161"</f>
        <v>201410007161</v>
      </c>
      <c r="G377" t="s">
        <v>211</v>
      </c>
      <c r="H377" t="s">
        <v>20</v>
      </c>
      <c r="I377">
        <v>1539</v>
      </c>
      <c r="J377" t="s">
        <v>21</v>
      </c>
      <c r="K377">
        <v>0</v>
      </c>
      <c r="L377" t="s">
        <v>35</v>
      </c>
      <c r="M377">
        <v>1108</v>
      </c>
    </row>
    <row r="378" spans="1:13">
      <c r="A378">
        <v>372</v>
      </c>
      <c r="B378">
        <v>95710</v>
      </c>
      <c r="C378" t="s">
        <v>1031</v>
      </c>
      <c r="D378" t="s">
        <v>209</v>
      </c>
      <c r="E378" t="s">
        <v>1032</v>
      </c>
      <c r="F378" t="str">
        <f>"00387709"</f>
        <v>00387709</v>
      </c>
      <c r="G378" t="s">
        <v>955</v>
      </c>
      <c r="H378" t="s">
        <v>48</v>
      </c>
      <c r="I378">
        <v>1630</v>
      </c>
      <c r="J378" t="s">
        <v>21</v>
      </c>
      <c r="K378">
        <v>0</v>
      </c>
      <c r="M378">
        <v>1328</v>
      </c>
    </row>
    <row r="379" spans="1:13">
      <c r="A379">
        <v>373</v>
      </c>
      <c r="B379">
        <v>65465</v>
      </c>
      <c r="C379" t="s">
        <v>1033</v>
      </c>
      <c r="D379" t="s">
        <v>209</v>
      </c>
      <c r="E379" t="s">
        <v>1034</v>
      </c>
      <c r="F379" t="str">
        <f>"00367328"</f>
        <v>00367328</v>
      </c>
      <c r="G379" t="s">
        <v>125</v>
      </c>
      <c r="H379" t="s">
        <v>20</v>
      </c>
      <c r="I379">
        <v>1507</v>
      </c>
      <c r="J379" t="s">
        <v>21</v>
      </c>
      <c r="K379">
        <v>0</v>
      </c>
      <c r="L379" t="s">
        <v>112</v>
      </c>
      <c r="M379">
        <v>900</v>
      </c>
    </row>
    <row r="380" spans="1:13">
      <c r="A380">
        <v>374</v>
      </c>
      <c r="B380">
        <v>94115</v>
      </c>
      <c r="C380" t="s">
        <v>1035</v>
      </c>
      <c r="D380" t="s">
        <v>153</v>
      </c>
      <c r="E380" t="s">
        <v>1036</v>
      </c>
      <c r="F380" t="str">
        <f>"00400925"</f>
        <v>00400925</v>
      </c>
      <c r="G380" t="s">
        <v>798</v>
      </c>
      <c r="H380" t="s">
        <v>326</v>
      </c>
      <c r="I380">
        <v>1593</v>
      </c>
      <c r="J380" t="s">
        <v>21</v>
      </c>
      <c r="K380">
        <v>0</v>
      </c>
      <c r="L380" t="s">
        <v>35</v>
      </c>
      <c r="M380">
        <v>1336</v>
      </c>
    </row>
    <row r="381" spans="1:13">
      <c r="A381">
        <v>375</v>
      </c>
      <c r="B381">
        <v>73239</v>
      </c>
      <c r="C381" t="s">
        <v>1037</v>
      </c>
      <c r="D381" t="s">
        <v>228</v>
      </c>
      <c r="E381" t="s">
        <v>1038</v>
      </c>
      <c r="F381" t="str">
        <f>"201102000364"</f>
        <v>201102000364</v>
      </c>
      <c r="G381" t="s">
        <v>955</v>
      </c>
      <c r="H381" t="s">
        <v>48</v>
      </c>
      <c r="I381">
        <v>1630</v>
      </c>
      <c r="J381" t="s">
        <v>21</v>
      </c>
      <c r="K381">
        <v>0</v>
      </c>
      <c r="L381" t="s">
        <v>112</v>
      </c>
      <c r="M381">
        <v>850</v>
      </c>
    </row>
    <row r="382" spans="1:13">
      <c r="A382">
        <v>376</v>
      </c>
      <c r="B382">
        <v>99693</v>
      </c>
      <c r="C382" t="s">
        <v>1039</v>
      </c>
      <c r="D382" t="s">
        <v>198</v>
      </c>
      <c r="E382" t="s">
        <v>1040</v>
      </c>
      <c r="F382" t="str">
        <f>"00341459"</f>
        <v>00341459</v>
      </c>
      <c r="G382" t="s">
        <v>29</v>
      </c>
      <c r="H382" t="s">
        <v>20</v>
      </c>
      <c r="I382">
        <v>1446</v>
      </c>
      <c r="J382" t="s">
        <v>21</v>
      </c>
      <c r="K382">
        <v>0</v>
      </c>
      <c r="L382" t="s">
        <v>88</v>
      </c>
      <c r="M382">
        <v>700</v>
      </c>
    </row>
    <row r="383" spans="1:13">
      <c r="A383">
        <v>377</v>
      </c>
      <c r="B383">
        <v>55890</v>
      </c>
      <c r="C383" t="s">
        <v>1041</v>
      </c>
      <c r="D383" t="s">
        <v>1042</v>
      </c>
      <c r="E383" t="s">
        <v>1043</v>
      </c>
      <c r="F383" t="str">
        <f>"00230209"</f>
        <v>00230209</v>
      </c>
      <c r="G383" t="s">
        <v>107</v>
      </c>
      <c r="H383" t="s">
        <v>20</v>
      </c>
      <c r="I383">
        <v>1472</v>
      </c>
      <c r="J383" t="s">
        <v>21</v>
      </c>
      <c r="K383">
        <v>0</v>
      </c>
      <c r="L383" t="s">
        <v>35</v>
      </c>
      <c r="M383">
        <v>908</v>
      </c>
    </row>
    <row r="384" spans="1:13">
      <c r="A384">
        <v>378</v>
      </c>
      <c r="B384">
        <v>83358</v>
      </c>
      <c r="C384" t="s">
        <v>1044</v>
      </c>
      <c r="D384" t="s">
        <v>373</v>
      </c>
      <c r="E384" t="s">
        <v>1045</v>
      </c>
      <c r="F384" t="str">
        <f>"00417146"</f>
        <v>00417146</v>
      </c>
      <c r="G384" t="s">
        <v>610</v>
      </c>
      <c r="H384" t="s">
        <v>20</v>
      </c>
      <c r="I384">
        <v>1429</v>
      </c>
      <c r="J384" t="s">
        <v>21</v>
      </c>
      <c r="K384">
        <v>0</v>
      </c>
      <c r="M384">
        <v>1550</v>
      </c>
    </row>
    <row r="385" spans="1:13">
      <c r="A385">
        <v>379</v>
      </c>
      <c r="B385">
        <v>113454</v>
      </c>
      <c r="C385" t="s">
        <v>1046</v>
      </c>
      <c r="D385" t="s">
        <v>145</v>
      </c>
      <c r="E385" t="s">
        <v>1047</v>
      </c>
      <c r="F385" t="str">
        <f>"00172179"</f>
        <v>00172179</v>
      </c>
      <c r="G385" t="s">
        <v>240</v>
      </c>
      <c r="H385" t="s">
        <v>20</v>
      </c>
      <c r="I385">
        <v>1535</v>
      </c>
      <c r="J385" t="s">
        <v>21</v>
      </c>
      <c r="K385">
        <v>6</v>
      </c>
      <c r="L385" t="s">
        <v>35</v>
      </c>
      <c r="M385">
        <v>1075</v>
      </c>
    </row>
    <row r="386" spans="1:13">
      <c r="A386">
        <v>380</v>
      </c>
      <c r="B386">
        <v>75425</v>
      </c>
      <c r="C386" t="s">
        <v>1048</v>
      </c>
      <c r="D386" t="s">
        <v>153</v>
      </c>
      <c r="E386" t="s">
        <v>1049</v>
      </c>
      <c r="F386" t="str">
        <f>"00364849"</f>
        <v>00364849</v>
      </c>
      <c r="G386" t="s">
        <v>150</v>
      </c>
      <c r="H386" t="s">
        <v>151</v>
      </c>
      <c r="I386">
        <v>1699</v>
      </c>
      <c r="J386" t="s">
        <v>21</v>
      </c>
      <c r="K386">
        <v>0</v>
      </c>
      <c r="L386" t="s">
        <v>88</v>
      </c>
      <c r="M386">
        <v>475</v>
      </c>
    </row>
    <row r="387" spans="1:13">
      <c r="A387">
        <v>381</v>
      </c>
      <c r="B387">
        <v>98175</v>
      </c>
      <c r="C387" t="s">
        <v>1050</v>
      </c>
      <c r="D387" t="s">
        <v>557</v>
      </c>
      <c r="E387" t="s">
        <v>1051</v>
      </c>
      <c r="F387" t="str">
        <f>"00404943"</f>
        <v>00404943</v>
      </c>
      <c r="G387" t="s">
        <v>107</v>
      </c>
      <c r="H387" t="s">
        <v>20</v>
      </c>
      <c r="I387">
        <v>1472</v>
      </c>
      <c r="J387" t="s">
        <v>21</v>
      </c>
      <c r="K387">
        <v>0</v>
      </c>
      <c r="L387" t="s">
        <v>59</v>
      </c>
      <c r="M387">
        <v>988</v>
      </c>
    </row>
    <row r="388" spans="1:13">
      <c r="A388">
        <v>382</v>
      </c>
      <c r="B388">
        <v>84870</v>
      </c>
      <c r="C388" t="s">
        <v>1052</v>
      </c>
      <c r="D388" t="s">
        <v>65</v>
      </c>
      <c r="E388" t="s">
        <v>1053</v>
      </c>
      <c r="F388" t="str">
        <f>"201511030365"</f>
        <v>201511030365</v>
      </c>
      <c r="G388" t="s">
        <v>125</v>
      </c>
      <c r="H388" t="s">
        <v>20</v>
      </c>
      <c r="I388">
        <v>1507</v>
      </c>
      <c r="J388" t="s">
        <v>21</v>
      </c>
      <c r="K388">
        <v>0</v>
      </c>
      <c r="L388" t="s">
        <v>35</v>
      </c>
      <c r="M388">
        <v>1008</v>
      </c>
    </row>
    <row r="389" spans="1:13">
      <c r="A389">
        <v>383</v>
      </c>
      <c r="B389">
        <v>75469</v>
      </c>
      <c r="C389" t="s">
        <v>1054</v>
      </c>
      <c r="D389" t="s">
        <v>90</v>
      </c>
      <c r="E389" t="s">
        <v>1055</v>
      </c>
      <c r="F389" t="str">
        <f>"00078347"</f>
        <v>00078347</v>
      </c>
      <c r="G389" t="s">
        <v>606</v>
      </c>
      <c r="H389" t="s">
        <v>607</v>
      </c>
      <c r="I389">
        <v>1343</v>
      </c>
      <c r="J389" t="s">
        <v>21</v>
      </c>
      <c r="K389">
        <v>0</v>
      </c>
      <c r="M389">
        <v>1462</v>
      </c>
    </row>
    <row r="390" spans="1:13">
      <c r="A390">
        <v>384</v>
      </c>
      <c r="B390">
        <v>52087</v>
      </c>
      <c r="C390" t="s">
        <v>1056</v>
      </c>
      <c r="D390" t="s">
        <v>121</v>
      </c>
      <c r="E390" t="s">
        <v>1057</v>
      </c>
      <c r="F390" t="str">
        <f>"201604004389"</f>
        <v>201604004389</v>
      </c>
      <c r="G390" t="s">
        <v>704</v>
      </c>
      <c r="H390" t="s">
        <v>20</v>
      </c>
      <c r="I390">
        <v>1447</v>
      </c>
      <c r="J390" t="s">
        <v>21</v>
      </c>
      <c r="K390">
        <v>6</v>
      </c>
      <c r="L390" t="s">
        <v>35</v>
      </c>
      <c r="M390">
        <v>1385</v>
      </c>
    </row>
    <row r="391" spans="1:13">
      <c r="A391">
        <v>385</v>
      </c>
      <c r="B391">
        <v>73171</v>
      </c>
      <c r="C391" t="s">
        <v>1058</v>
      </c>
      <c r="D391" t="s">
        <v>700</v>
      </c>
      <c r="E391" t="s">
        <v>1059</v>
      </c>
      <c r="F391" t="str">
        <f>"00283587"</f>
        <v>00283587</v>
      </c>
      <c r="G391" t="s">
        <v>107</v>
      </c>
      <c r="H391" t="s">
        <v>20</v>
      </c>
      <c r="I391">
        <v>1472</v>
      </c>
      <c r="J391" t="s">
        <v>21</v>
      </c>
      <c r="K391">
        <v>0</v>
      </c>
      <c r="L391" t="s">
        <v>35</v>
      </c>
      <c r="M391">
        <v>908</v>
      </c>
    </row>
    <row r="392" spans="1:13">
      <c r="A392">
        <v>386</v>
      </c>
      <c r="B392">
        <v>60555</v>
      </c>
      <c r="C392" t="s">
        <v>1060</v>
      </c>
      <c r="D392" t="s">
        <v>218</v>
      </c>
      <c r="E392" t="s">
        <v>1061</v>
      </c>
      <c r="F392" t="str">
        <f>"00092577"</f>
        <v>00092577</v>
      </c>
      <c r="G392" t="s">
        <v>87</v>
      </c>
      <c r="H392" t="s">
        <v>20</v>
      </c>
      <c r="I392">
        <v>1436</v>
      </c>
      <c r="J392" t="s">
        <v>21</v>
      </c>
      <c r="K392">
        <v>0</v>
      </c>
      <c r="M392">
        <v>1328</v>
      </c>
    </row>
    <row r="393" spans="1:13">
      <c r="A393">
        <v>387</v>
      </c>
      <c r="B393">
        <v>61277</v>
      </c>
      <c r="C393" t="s">
        <v>1062</v>
      </c>
      <c r="D393" t="s">
        <v>218</v>
      </c>
      <c r="E393" t="s">
        <v>1063</v>
      </c>
      <c r="F393" t="str">
        <f>"00155009"</f>
        <v>00155009</v>
      </c>
      <c r="G393" t="s">
        <v>593</v>
      </c>
      <c r="H393" t="s">
        <v>20</v>
      </c>
      <c r="I393">
        <v>1444</v>
      </c>
      <c r="J393" t="s">
        <v>21</v>
      </c>
      <c r="K393">
        <v>0</v>
      </c>
      <c r="L393" t="s">
        <v>83</v>
      </c>
      <c r="M393">
        <v>1418</v>
      </c>
    </row>
    <row r="394" spans="1:13">
      <c r="A394">
        <v>388</v>
      </c>
      <c r="B394">
        <v>50050</v>
      </c>
      <c r="C394" t="s">
        <v>1064</v>
      </c>
      <c r="D394" t="s">
        <v>243</v>
      </c>
      <c r="E394" t="s">
        <v>1065</v>
      </c>
      <c r="F394" t="str">
        <f>"00254974"</f>
        <v>00254974</v>
      </c>
      <c r="G394" t="s">
        <v>24</v>
      </c>
      <c r="H394" t="s">
        <v>20</v>
      </c>
      <c r="I394">
        <v>1577</v>
      </c>
      <c r="J394" t="s">
        <v>21</v>
      </c>
      <c r="K394">
        <v>0</v>
      </c>
      <c r="M394">
        <v>1428</v>
      </c>
    </row>
    <row r="395" spans="1:13">
      <c r="A395">
        <v>389</v>
      </c>
      <c r="B395">
        <v>86156</v>
      </c>
      <c r="C395" t="s">
        <v>1066</v>
      </c>
      <c r="D395" t="s">
        <v>130</v>
      </c>
      <c r="E395" t="s">
        <v>1067</v>
      </c>
      <c r="F395" t="str">
        <f>"00221258"</f>
        <v>00221258</v>
      </c>
      <c r="G395" t="s">
        <v>47</v>
      </c>
      <c r="H395" t="s">
        <v>48</v>
      </c>
      <c r="I395">
        <v>1623</v>
      </c>
      <c r="J395" t="s">
        <v>21</v>
      </c>
      <c r="K395">
        <v>0</v>
      </c>
      <c r="L395" t="s">
        <v>88</v>
      </c>
      <c r="M395">
        <v>536</v>
      </c>
    </row>
    <row r="396" spans="1:13">
      <c r="A396">
        <v>390</v>
      </c>
      <c r="B396">
        <v>108043</v>
      </c>
      <c r="C396" t="s">
        <v>1068</v>
      </c>
      <c r="D396" t="s">
        <v>105</v>
      </c>
      <c r="E396" t="s">
        <v>1069</v>
      </c>
      <c r="F396" t="str">
        <f>"00419422"</f>
        <v>00419422</v>
      </c>
      <c r="G396" t="s">
        <v>299</v>
      </c>
      <c r="H396" t="s">
        <v>20</v>
      </c>
      <c r="I396">
        <v>1490</v>
      </c>
      <c r="J396" t="s">
        <v>21</v>
      </c>
      <c r="K396">
        <v>0</v>
      </c>
      <c r="M396">
        <v>1345</v>
      </c>
    </row>
    <row r="397" spans="1:13">
      <c r="A397">
        <v>391</v>
      </c>
      <c r="B397">
        <v>115194</v>
      </c>
      <c r="C397" t="s">
        <v>1070</v>
      </c>
      <c r="D397" t="s">
        <v>145</v>
      </c>
      <c r="E397" t="s">
        <v>1071</v>
      </c>
      <c r="F397" t="str">
        <f>"00415210"</f>
        <v>00415210</v>
      </c>
      <c r="G397" t="s">
        <v>155</v>
      </c>
      <c r="H397" t="s">
        <v>156</v>
      </c>
      <c r="I397">
        <v>1342</v>
      </c>
      <c r="J397" t="s">
        <v>21</v>
      </c>
      <c r="K397">
        <v>0</v>
      </c>
      <c r="M397">
        <v>2018</v>
      </c>
    </row>
    <row r="398" spans="1:13">
      <c r="A398">
        <v>392</v>
      </c>
      <c r="B398">
        <v>107535</v>
      </c>
      <c r="C398" t="s">
        <v>1072</v>
      </c>
      <c r="D398" t="s">
        <v>80</v>
      </c>
      <c r="E398" t="s">
        <v>1073</v>
      </c>
      <c r="F398" t="str">
        <f>"00418138"</f>
        <v>00418138</v>
      </c>
      <c r="G398" t="s">
        <v>1074</v>
      </c>
      <c r="H398" t="s">
        <v>48</v>
      </c>
      <c r="I398">
        <v>1627</v>
      </c>
      <c r="J398" t="s">
        <v>21</v>
      </c>
      <c r="K398">
        <v>6</v>
      </c>
      <c r="L398" t="s">
        <v>35</v>
      </c>
      <c r="M398">
        <v>508</v>
      </c>
    </row>
    <row r="399" spans="1:13">
      <c r="A399">
        <v>393</v>
      </c>
      <c r="B399">
        <v>66163</v>
      </c>
      <c r="C399" t="s">
        <v>1075</v>
      </c>
      <c r="D399" t="s">
        <v>76</v>
      </c>
      <c r="E399" t="s">
        <v>1076</v>
      </c>
      <c r="F399" t="str">
        <f>"201410008567"</f>
        <v>201410008567</v>
      </c>
      <c r="G399" t="s">
        <v>994</v>
      </c>
      <c r="H399" t="s">
        <v>20</v>
      </c>
      <c r="I399">
        <v>1522</v>
      </c>
      <c r="J399" t="s">
        <v>21</v>
      </c>
      <c r="K399">
        <v>0</v>
      </c>
      <c r="M399">
        <v>1393</v>
      </c>
    </row>
    <row r="400" spans="1:13">
      <c r="A400">
        <v>394</v>
      </c>
      <c r="B400">
        <v>89072</v>
      </c>
      <c r="C400" t="s">
        <v>1077</v>
      </c>
      <c r="D400" t="s">
        <v>163</v>
      </c>
      <c r="E400" t="s">
        <v>1078</v>
      </c>
      <c r="F400" t="str">
        <f>"00404524"</f>
        <v>00404524</v>
      </c>
      <c r="G400" t="s">
        <v>1079</v>
      </c>
      <c r="H400" t="s">
        <v>20</v>
      </c>
      <c r="I400">
        <v>1433</v>
      </c>
      <c r="J400" t="s">
        <v>21</v>
      </c>
      <c r="K400">
        <v>0</v>
      </c>
      <c r="L400" t="s">
        <v>35</v>
      </c>
      <c r="M400">
        <v>1008</v>
      </c>
    </row>
    <row r="401" spans="1:13">
      <c r="A401">
        <v>395</v>
      </c>
      <c r="B401">
        <v>112916</v>
      </c>
      <c r="C401" t="s">
        <v>1080</v>
      </c>
      <c r="D401" t="s">
        <v>209</v>
      </c>
      <c r="E401" t="s">
        <v>1081</v>
      </c>
      <c r="F401" t="str">
        <f>"00410713"</f>
        <v>00410713</v>
      </c>
      <c r="G401" t="s">
        <v>203</v>
      </c>
      <c r="H401" t="s">
        <v>20</v>
      </c>
      <c r="I401">
        <v>1476</v>
      </c>
      <c r="J401" t="s">
        <v>21</v>
      </c>
      <c r="K401">
        <v>6</v>
      </c>
      <c r="M401">
        <v>1233</v>
      </c>
    </row>
    <row r="402" spans="1:13">
      <c r="A402">
        <v>396</v>
      </c>
      <c r="B402">
        <v>97711</v>
      </c>
      <c r="C402" t="s">
        <v>1082</v>
      </c>
      <c r="D402" t="s">
        <v>139</v>
      </c>
      <c r="E402" t="s">
        <v>1083</v>
      </c>
      <c r="F402" t="str">
        <f>"201511017062"</f>
        <v>201511017062</v>
      </c>
      <c r="G402" t="s">
        <v>1084</v>
      </c>
      <c r="H402" t="s">
        <v>1085</v>
      </c>
      <c r="I402">
        <v>1588</v>
      </c>
      <c r="J402" t="s">
        <v>21</v>
      </c>
      <c r="K402">
        <v>0</v>
      </c>
      <c r="L402" t="s">
        <v>35</v>
      </c>
      <c r="M402">
        <v>908</v>
      </c>
    </row>
    <row r="403" spans="1:13">
      <c r="A403">
        <v>397</v>
      </c>
      <c r="B403">
        <v>47842</v>
      </c>
      <c r="C403" t="s">
        <v>1086</v>
      </c>
      <c r="D403" t="s">
        <v>566</v>
      </c>
      <c r="E403" t="s">
        <v>1087</v>
      </c>
      <c r="F403" t="str">
        <f>"00345470"</f>
        <v>00345470</v>
      </c>
      <c r="G403" t="s">
        <v>352</v>
      </c>
      <c r="H403" t="s">
        <v>20</v>
      </c>
      <c r="I403">
        <v>1471</v>
      </c>
      <c r="J403" t="s">
        <v>21</v>
      </c>
      <c r="K403">
        <v>0</v>
      </c>
      <c r="M403">
        <v>1638</v>
      </c>
    </row>
    <row r="404" spans="1:13">
      <c r="A404">
        <v>398</v>
      </c>
      <c r="B404">
        <v>108497</v>
      </c>
      <c r="C404" t="s">
        <v>1088</v>
      </c>
      <c r="D404" t="s">
        <v>180</v>
      </c>
      <c r="E404" t="s">
        <v>1089</v>
      </c>
      <c r="F404" t="str">
        <f>"00417249"</f>
        <v>00417249</v>
      </c>
      <c r="G404" t="s">
        <v>82</v>
      </c>
      <c r="H404" t="s">
        <v>20</v>
      </c>
      <c r="I404">
        <v>1475</v>
      </c>
      <c r="J404" t="s">
        <v>21</v>
      </c>
      <c r="K404">
        <v>0</v>
      </c>
      <c r="L404" t="s">
        <v>112</v>
      </c>
      <c r="M404">
        <v>808</v>
      </c>
    </row>
    <row r="405" spans="1:13">
      <c r="A405">
        <v>399</v>
      </c>
      <c r="B405">
        <v>81631</v>
      </c>
      <c r="C405" t="s">
        <v>1090</v>
      </c>
      <c r="D405" t="s">
        <v>145</v>
      </c>
      <c r="E405" t="s">
        <v>1091</v>
      </c>
      <c r="F405" t="str">
        <f>"00415825"</f>
        <v>00415825</v>
      </c>
      <c r="G405" t="s">
        <v>955</v>
      </c>
      <c r="H405" t="s">
        <v>48</v>
      </c>
      <c r="I405">
        <v>1630</v>
      </c>
      <c r="J405" t="s">
        <v>21</v>
      </c>
      <c r="K405">
        <v>0</v>
      </c>
      <c r="L405" t="s">
        <v>88</v>
      </c>
      <c r="M405">
        <v>600</v>
      </c>
    </row>
    <row r="406" spans="1:13">
      <c r="A406">
        <v>400</v>
      </c>
      <c r="B406">
        <v>89172</v>
      </c>
      <c r="C406" t="s">
        <v>1092</v>
      </c>
      <c r="D406" t="s">
        <v>145</v>
      </c>
      <c r="E406" t="s">
        <v>1093</v>
      </c>
      <c r="F406" t="str">
        <f>"201510003157"</f>
        <v>201510003157</v>
      </c>
      <c r="G406" t="s">
        <v>87</v>
      </c>
      <c r="H406" t="s">
        <v>20</v>
      </c>
      <c r="I406">
        <v>1436</v>
      </c>
      <c r="J406" t="s">
        <v>21</v>
      </c>
      <c r="K406">
        <v>0</v>
      </c>
      <c r="L406" t="s">
        <v>59</v>
      </c>
      <c r="M406">
        <v>838</v>
      </c>
    </row>
    <row r="407" spans="1:13">
      <c r="A407">
        <v>401</v>
      </c>
      <c r="B407">
        <v>99314</v>
      </c>
      <c r="C407" t="s">
        <v>1094</v>
      </c>
      <c r="D407" t="s">
        <v>145</v>
      </c>
      <c r="E407" t="s">
        <v>1095</v>
      </c>
      <c r="F407" t="str">
        <f>"00385657"</f>
        <v>00385657</v>
      </c>
      <c r="G407" t="s">
        <v>42</v>
      </c>
      <c r="H407" t="s">
        <v>43</v>
      </c>
      <c r="I407">
        <v>1712</v>
      </c>
      <c r="J407" t="s">
        <v>21</v>
      </c>
      <c r="K407">
        <v>0</v>
      </c>
      <c r="L407" t="s">
        <v>35</v>
      </c>
      <c r="M407">
        <v>1121</v>
      </c>
    </row>
    <row r="408" spans="1:13">
      <c r="A408">
        <v>402</v>
      </c>
      <c r="B408">
        <v>62652</v>
      </c>
      <c r="C408" t="s">
        <v>1096</v>
      </c>
      <c r="D408" t="s">
        <v>76</v>
      </c>
      <c r="E408" t="s">
        <v>1097</v>
      </c>
      <c r="F408" t="str">
        <f>"00285660"</f>
        <v>00285660</v>
      </c>
      <c r="G408" t="s">
        <v>603</v>
      </c>
      <c r="H408" t="s">
        <v>20</v>
      </c>
      <c r="I408">
        <v>1464</v>
      </c>
      <c r="J408" t="s">
        <v>21</v>
      </c>
      <c r="K408">
        <v>0</v>
      </c>
      <c r="M408">
        <v>1597</v>
      </c>
    </row>
    <row r="409" spans="1:13">
      <c r="A409">
        <v>403</v>
      </c>
      <c r="B409">
        <v>110995</v>
      </c>
      <c r="C409" t="s">
        <v>1098</v>
      </c>
      <c r="D409" t="s">
        <v>105</v>
      </c>
      <c r="E409" t="s">
        <v>1099</v>
      </c>
      <c r="F409" t="str">
        <f>"00283528"</f>
        <v>00283528</v>
      </c>
      <c r="G409" t="s">
        <v>1100</v>
      </c>
      <c r="H409" t="s">
        <v>234</v>
      </c>
      <c r="I409">
        <v>1344</v>
      </c>
      <c r="J409" t="s">
        <v>21</v>
      </c>
      <c r="K409">
        <v>6</v>
      </c>
      <c r="M409">
        <v>1228</v>
      </c>
    </row>
    <row r="410" spans="1:13">
      <c r="A410">
        <v>404</v>
      </c>
      <c r="B410">
        <v>53849</v>
      </c>
      <c r="C410" t="s">
        <v>1101</v>
      </c>
      <c r="D410" t="s">
        <v>373</v>
      </c>
      <c r="E410" t="s">
        <v>1102</v>
      </c>
      <c r="F410" t="str">
        <f>"00152530"</f>
        <v>00152530</v>
      </c>
      <c r="G410" t="s">
        <v>713</v>
      </c>
      <c r="H410" t="s">
        <v>366</v>
      </c>
      <c r="I410">
        <v>1690</v>
      </c>
      <c r="J410" t="s">
        <v>21</v>
      </c>
      <c r="K410">
        <v>0</v>
      </c>
      <c r="L410" t="s">
        <v>35</v>
      </c>
      <c r="M410">
        <v>1053</v>
      </c>
    </row>
    <row r="411" spans="1:13">
      <c r="A411">
        <v>405</v>
      </c>
      <c r="B411">
        <v>96502</v>
      </c>
      <c r="C411" t="s">
        <v>1103</v>
      </c>
      <c r="D411" t="s">
        <v>566</v>
      </c>
      <c r="E411" t="s">
        <v>1104</v>
      </c>
      <c r="F411" t="str">
        <f>"00407775"</f>
        <v>00407775</v>
      </c>
      <c r="G411" t="s">
        <v>713</v>
      </c>
      <c r="H411" t="s">
        <v>366</v>
      </c>
      <c r="I411">
        <v>1690</v>
      </c>
      <c r="J411" t="s">
        <v>21</v>
      </c>
      <c r="K411">
        <v>0</v>
      </c>
      <c r="M411">
        <v>1568</v>
      </c>
    </row>
    <row r="412" spans="1:13">
      <c r="A412">
        <v>406</v>
      </c>
      <c r="B412">
        <v>48776</v>
      </c>
      <c r="C412" t="s">
        <v>1105</v>
      </c>
      <c r="D412" t="s">
        <v>213</v>
      </c>
      <c r="E412" t="s">
        <v>1106</v>
      </c>
      <c r="F412" t="str">
        <f>"00357795"</f>
        <v>00357795</v>
      </c>
      <c r="G412" t="s">
        <v>1107</v>
      </c>
      <c r="H412" t="s">
        <v>48</v>
      </c>
      <c r="I412">
        <v>1626</v>
      </c>
      <c r="J412" t="s">
        <v>21</v>
      </c>
      <c r="K412">
        <v>0</v>
      </c>
      <c r="L412" t="s">
        <v>59</v>
      </c>
      <c r="M412">
        <v>909</v>
      </c>
    </row>
    <row r="413" spans="1:13">
      <c r="A413">
        <v>407</v>
      </c>
      <c r="B413">
        <v>84861</v>
      </c>
      <c r="C413" t="s">
        <v>1108</v>
      </c>
      <c r="D413" t="s">
        <v>1109</v>
      </c>
      <c r="E413" t="s">
        <v>1110</v>
      </c>
      <c r="F413" t="str">
        <f>"00311980"</f>
        <v>00311980</v>
      </c>
      <c r="G413" t="s">
        <v>38</v>
      </c>
      <c r="H413" t="s">
        <v>119</v>
      </c>
      <c r="I413">
        <v>1674</v>
      </c>
      <c r="J413" t="s">
        <v>21</v>
      </c>
      <c r="K413">
        <v>6</v>
      </c>
      <c r="M413">
        <v>1248</v>
      </c>
    </row>
    <row r="414" spans="1:13">
      <c r="A414">
        <v>408</v>
      </c>
      <c r="B414">
        <v>62443</v>
      </c>
      <c r="C414" t="s">
        <v>1111</v>
      </c>
      <c r="D414" t="s">
        <v>105</v>
      </c>
      <c r="E414" t="s">
        <v>1112</v>
      </c>
      <c r="F414" t="str">
        <f>"00364497"</f>
        <v>00364497</v>
      </c>
      <c r="G414" t="s">
        <v>38</v>
      </c>
      <c r="H414" t="s">
        <v>39</v>
      </c>
      <c r="I414">
        <v>1634</v>
      </c>
      <c r="J414" t="s">
        <v>21</v>
      </c>
      <c r="K414">
        <v>6</v>
      </c>
      <c r="L414" t="s">
        <v>35</v>
      </c>
      <c r="M414">
        <v>808</v>
      </c>
    </row>
    <row r="415" spans="1:13">
      <c r="A415">
        <v>409</v>
      </c>
      <c r="B415">
        <v>53971</v>
      </c>
      <c r="C415" t="s">
        <v>1113</v>
      </c>
      <c r="D415" t="s">
        <v>76</v>
      </c>
      <c r="E415" t="s">
        <v>1114</v>
      </c>
      <c r="F415" t="str">
        <f>"00311778"</f>
        <v>00311778</v>
      </c>
      <c r="G415" t="s">
        <v>38</v>
      </c>
      <c r="H415" t="s">
        <v>39</v>
      </c>
      <c r="I415">
        <v>1634</v>
      </c>
      <c r="J415" t="s">
        <v>21</v>
      </c>
      <c r="K415">
        <v>6</v>
      </c>
      <c r="L415" t="s">
        <v>35</v>
      </c>
      <c r="M415">
        <v>608</v>
      </c>
    </row>
    <row r="416" spans="1:13">
      <c r="A416">
        <v>410</v>
      </c>
      <c r="B416">
        <v>73386</v>
      </c>
      <c r="C416" t="s">
        <v>1115</v>
      </c>
      <c r="D416" t="s">
        <v>205</v>
      </c>
      <c r="E416" t="s">
        <v>1116</v>
      </c>
      <c r="F416" t="str">
        <f>"201502003853"</f>
        <v>201502003853</v>
      </c>
      <c r="G416" t="s">
        <v>233</v>
      </c>
      <c r="H416" t="s">
        <v>234</v>
      </c>
      <c r="I416">
        <v>1339</v>
      </c>
      <c r="J416" t="s">
        <v>21</v>
      </c>
      <c r="K416">
        <v>6</v>
      </c>
      <c r="M416">
        <v>1407</v>
      </c>
    </row>
    <row r="417" spans="1:13">
      <c r="A417">
        <v>411</v>
      </c>
      <c r="B417">
        <v>93333</v>
      </c>
      <c r="C417" t="s">
        <v>1117</v>
      </c>
      <c r="D417" t="s">
        <v>80</v>
      </c>
      <c r="E417" t="s">
        <v>1118</v>
      </c>
      <c r="F417" t="str">
        <f>"00184359"</f>
        <v>00184359</v>
      </c>
      <c r="G417" t="s">
        <v>520</v>
      </c>
      <c r="H417" t="s">
        <v>20</v>
      </c>
      <c r="I417">
        <v>1540</v>
      </c>
      <c r="J417" t="s">
        <v>21</v>
      </c>
      <c r="K417">
        <v>0</v>
      </c>
      <c r="L417" t="s">
        <v>59</v>
      </c>
      <c r="M417">
        <v>988</v>
      </c>
    </row>
    <row r="418" spans="1:13">
      <c r="A418">
        <v>412</v>
      </c>
      <c r="B418">
        <v>48565</v>
      </c>
      <c r="C418" t="s">
        <v>1119</v>
      </c>
      <c r="D418" t="s">
        <v>105</v>
      </c>
      <c r="E418" t="s">
        <v>1120</v>
      </c>
      <c r="F418" t="str">
        <f>"00315726"</f>
        <v>00315726</v>
      </c>
      <c r="G418" t="s">
        <v>610</v>
      </c>
      <c r="H418" t="s">
        <v>20</v>
      </c>
      <c r="I418">
        <v>1429</v>
      </c>
      <c r="J418" t="s">
        <v>21</v>
      </c>
      <c r="K418">
        <v>0</v>
      </c>
      <c r="M418">
        <v>1976</v>
      </c>
    </row>
    <row r="419" spans="1:13">
      <c r="A419">
        <v>413</v>
      </c>
      <c r="B419">
        <v>95934</v>
      </c>
      <c r="C419" t="s">
        <v>1121</v>
      </c>
      <c r="D419" t="s">
        <v>85</v>
      </c>
      <c r="E419" t="s">
        <v>1122</v>
      </c>
      <c r="F419" t="str">
        <f>"00390064"</f>
        <v>00390064</v>
      </c>
      <c r="G419" t="s">
        <v>38</v>
      </c>
      <c r="H419" t="s">
        <v>39</v>
      </c>
      <c r="I419">
        <v>1634</v>
      </c>
      <c r="J419" t="s">
        <v>21</v>
      </c>
      <c r="K419">
        <v>6</v>
      </c>
      <c r="M419">
        <v>1112</v>
      </c>
    </row>
    <row r="420" spans="1:13">
      <c r="A420">
        <v>414</v>
      </c>
      <c r="B420">
        <v>113992</v>
      </c>
      <c r="C420" t="s">
        <v>1123</v>
      </c>
      <c r="D420" t="s">
        <v>180</v>
      </c>
      <c r="E420" t="s">
        <v>1124</v>
      </c>
      <c r="F420" t="str">
        <f>"00385207"</f>
        <v>00385207</v>
      </c>
      <c r="G420" t="s">
        <v>1125</v>
      </c>
      <c r="H420" t="s">
        <v>20</v>
      </c>
      <c r="I420">
        <v>1431</v>
      </c>
      <c r="J420" t="s">
        <v>21</v>
      </c>
      <c r="K420">
        <v>0</v>
      </c>
      <c r="L420" t="s">
        <v>35</v>
      </c>
      <c r="M420">
        <v>1008</v>
      </c>
    </row>
    <row r="421" spans="1:13">
      <c r="A421">
        <v>415</v>
      </c>
      <c r="B421">
        <v>89709</v>
      </c>
      <c r="C421" t="s">
        <v>1126</v>
      </c>
      <c r="D421" t="s">
        <v>243</v>
      </c>
      <c r="E421" t="s">
        <v>1127</v>
      </c>
      <c r="F421" t="str">
        <f>"00421208"</f>
        <v>00421208</v>
      </c>
      <c r="G421" t="s">
        <v>325</v>
      </c>
      <c r="H421" t="s">
        <v>326</v>
      </c>
      <c r="I421">
        <v>1592</v>
      </c>
      <c r="J421" t="s">
        <v>21</v>
      </c>
      <c r="K421">
        <v>0</v>
      </c>
      <c r="M421">
        <v>1888</v>
      </c>
    </row>
    <row r="422" spans="1:13">
      <c r="A422">
        <v>416</v>
      </c>
      <c r="B422">
        <v>109073</v>
      </c>
      <c r="C422" t="s">
        <v>1128</v>
      </c>
      <c r="D422" t="s">
        <v>80</v>
      </c>
      <c r="E422" t="s">
        <v>1129</v>
      </c>
      <c r="F422" t="str">
        <f>"00244856"</f>
        <v>00244856</v>
      </c>
      <c r="G422" t="s">
        <v>610</v>
      </c>
      <c r="H422" t="s">
        <v>20</v>
      </c>
      <c r="I422">
        <v>1429</v>
      </c>
      <c r="J422" t="s">
        <v>21</v>
      </c>
      <c r="K422">
        <v>0</v>
      </c>
      <c r="M422">
        <v>1528</v>
      </c>
    </row>
    <row r="423" spans="1:13">
      <c r="A423">
        <v>417</v>
      </c>
      <c r="B423">
        <v>96089</v>
      </c>
      <c r="C423" t="s">
        <v>1130</v>
      </c>
      <c r="D423" t="s">
        <v>76</v>
      </c>
      <c r="E423" t="s">
        <v>1131</v>
      </c>
      <c r="F423" t="str">
        <f>"00269041"</f>
        <v>00269041</v>
      </c>
      <c r="G423" t="s">
        <v>125</v>
      </c>
      <c r="H423" t="s">
        <v>20</v>
      </c>
      <c r="I423">
        <v>1507</v>
      </c>
      <c r="J423" t="s">
        <v>21</v>
      </c>
      <c r="K423">
        <v>0</v>
      </c>
      <c r="M423">
        <v>1418</v>
      </c>
    </row>
    <row r="424" spans="1:13">
      <c r="A424">
        <v>418</v>
      </c>
      <c r="B424">
        <v>102711</v>
      </c>
      <c r="C424" t="s">
        <v>1132</v>
      </c>
      <c r="D424" t="s">
        <v>180</v>
      </c>
      <c r="E424" t="s">
        <v>1133</v>
      </c>
      <c r="F424" t="str">
        <f>"00375396"</f>
        <v>00375396</v>
      </c>
      <c r="G424" t="s">
        <v>1134</v>
      </c>
      <c r="H424" t="s">
        <v>20</v>
      </c>
      <c r="I424">
        <v>1454</v>
      </c>
      <c r="J424" t="s">
        <v>21</v>
      </c>
      <c r="K424">
        <v>6</v>
      </c>
      <c r="L424" t="s">
        <v>35</v>
      </c>
      <c r="M424">
        <v>708</v>
      </c>
    </row>
    <row r="425" spans="1:13">
      <c r="A425">
        <v>419</v>
      </c>
      <c r="B425">
        <v>61449</v>
      </c>
      <c r="C425" t="s">
        <v>1135</v>
      </c>
      <c r="D425" t="s">
        <v>243</v>
      </c>
      <c r="E425" t="s">
        <v>1136</v>
      </c>
      <c r="F425" t="str">
        <f>"00353107"</f>
        <v>00353107</v>
      </c>
      <c r="G425" t="s">
        <v>47</v>
      </c>
      <c r="H425" t="s">
        <v>48</v>
      </c>
      <c r="I425">
        <v>1623</v>
      </c>
      <c r="J425" t="s">
        <v>21</v>
      </c>
      <c r="K425">
        <v>0</v>
      </c>
      <c r="L425" t="s">
        <v>35</v>
      </c>
      <c r="M425">
        <v>900</v>
      </c>
    </row>
    <row r="426" spans="1:13">
      <c r="A426">
        <v>420</v>
      </c>
      <c r="B426">
        <v>57888</v>
      </c>
      <c r="C426" t="s">
        <v>1137</v>
      </c>
      <c r="D426" t="s">
        <v>85</v>
      </c>
      <c r="E426" t="s">
        <v>1138</v>
      </c>
      <c r="F426" t="str">
        <f>"00300847"</f>
        <v>00300847</v>
      </c>
      <c r="G426" t="s">
        <v>691</v>
      </c>
      <c r="H426" t="s">
        <v>241</v>
      </c>
      <c r="I426">
        <v>1360</v>
      </c>
      <c r="J426" t="s">
        <v>21</v>
      </c>
      <c r="K426">
        <v>0</v>
      </c>
      <c r="L426" t="s">
        <v>35</v>
      </c>
      <c r="M426">
        <v>1000</v>
      </c>
    </row>
    <row r="427" spans="1:13">
      <c r="A427">
        <v>421</v>
      </c>
      <c r="B427">
        <v>116975</v>
      </c>
      <c r="C427" t="s">
        <v>1139</v>
      </c>
      <c r="D427" t="s">
        <v>1140</v>
      </c>
      <c r="E427" t="s">
        <v>1141</v>
      </c>
      <c r="F427" t="str">
        <f>"00415938"</f>
        <v>00415938</v>
      </c>
      <c r="G427" t="s">
        <v>437</v>
      </c>
      <c r="H427" t="s">
        <v>738</v>
      </c>
      <c r="I427">
        <v>1646</v>
      </c>
      <c r="J427" t="s">
        <v>21</v>
      </c>
      <c r="K427">
        <v>0</v>
      </c>
      <c r="M427">
        <v>1498</v>
      </c>
    </row>
    <row r="428" spans="1:13">
      <c r="A428">
        <v>422</v>
      </c>
      <c r="B428">
        <v>92500</v>
      </c>
      <c r="C428" t="s">
        <v>1142</v>
      </c>
      <c r="D428" t="s">
        <v>76</v>
      </c>
      <c r="E428" t="s">
        <v>1143</v>
      </c>
      <c r="F428" t="str">
        <f>"00399223"</f>
        <v>00399223</v>
      </c>
      <c r="G428" t="s">
        <v>170</v>
      </c>
      <c r="H428" t="s">
        <v>1144</v>
      </c>
      <c r="I428">
        <v>1635</v>
      </c>
      <c r="J428" t="s">
        <v>21</v>
      </c>
      <c r="K428">
        <v>0</v>
      </c>
      <c r="L428" t="s">
        <v>35</v>
      </c>
      <c r="M428">
        <v>1100</v>
      </c>
    </row>
    <row r="429" spans="1:13">
      <c r="A429">
        <v>423</v>
      </c>
      <c r="B429">
        <v>83575</v>
      </c>
      <c r="C429" t="s">
        <v>1145</v>
      </c>
      <c r="D429" t="s">
        <v>105</v>
      </c>
      <c r="E429" t="s">
        <v>1146</v>
      </c>
      <c r="F429" t="str">
        <f>"201511021444"</f>
        <v>201511021444</v>
      </c>
      <c r="G429" t="s">
        <v>437</v>
      </c>
      <c r="H429" t="s">
        <v>20</v>
      </c>
      <c r="I429">
        <v>1407</v>
      </c>
      <c r="J429" t="s">
        <v>21</v>
      </c>
      <c r="K429">
        <v>0</v>
      </c>
      <c r="L429" t="s">
        <v>35</v>
      </c>
      <c r="M429">
        <v>1008</v>
      </c>
    </row>
    <row r="430" spans="1:13">
      <c r="A430">
        <v>424</v>
      </c>
      <c r="B430">
        <v>103053</v>
      </c>
      <c r="C430" t="s">
        <v>1147</v>
      </c>
      <c r="D430" t="s">
        <v>243</v>
      </c>
      <c r="E430" t="s">
        <v>1148</v>
      </c>
      <c r="F430" t="str">
        <f>"00402761"</f>
        <v>00402761</v>
      </c>
      <c r="G430" t="s">
        <v>1107</v>
      </c>
      <c r="H430" t="s">
        <v>48</v>
      </c>
      <c r="I430">
        <v>1626</v>
      </c>
      <c r="J430" t="s">
        <v>21</v>
      </c>
      <c r="K430">
        <v>0</v>
      </c>
      <c r="M430">
        <v>1328</v>
      </c>
    </row>
    <row r="431" spans="1:13">
      <c r="A431">
        <v>425</v>
      </c>
      <c r="B431">
        <v>77066</v>
      </c>
      <c r="C431" t="s">
        <v>1149</v>
      </c>
      <c r="D431" t="s">
        <v>76</v>
      </c>
      <c r="E431" t="s">
        <v>1150</v>
      </c>
      <c r="F431" t="str">
        <f>"00378517"</f>
        <v>00378517</v>
      </c>
      <c r="G431" t="s">
        <v>47</v>
      </c>
      <c r="H431" t="s">
        <v>48</v>
      </c>
      <c r="I431">
        <v>1623</v>
      </c>
      <c r="J431" t="s">
        <v>21</v>
      </c>
      <c r="K431">
        <v>0</v>
      </c>
      <c r="L431" t="s">
        <v>59</v>
      </c>
      <c r="M431">
        <v>988</v>
      </c>
    </row>
    <row r="432" spans="1:13">
      <c r="A432">
        <v>426</v>
      </c>
      <c r="B432">
        <v>56752</v>
      </c>
      <c r="C432" t="s">
        <v>1151</v>
      </c>
      <c r="D432" t="s">
        <v>180</v>
      </c>
      <c r="E432" t="s">
        <v>1152</v>
      </c>
      <c r="F432" t="str">
        <f>"201406008071"</f>
        <v>201406008071</v>
      </c>
      <c r="G432" t="s">
        <v>38</v>
      </c>
      <c r="H432" t="s">
        <v>39</v>
      </c>
      <c r="I432">
        <v>1634</v>
      </c>
      <c r="J432" t="s">
        <v>21</v>
      </c>
      <c r="K432">
        <v>6</v>
      </c>
      <c r="L432" t="s">
        <v>59</v>
      </c>
      <c r="M432">
        <v>194</v>
      </c>
    </row>
    <row r="433" spans="1:13">
      <c r="A433">
        <v>427</v>
      </c>
      <c r="B433">
        <v>91417</v>
      </c>
      <c r="C433" t="s">
        <v>1153</v>
      </c>
      <c r="D433" t="s">
        <v>105</v>
      </c>
      <c r="E433" t="s">
        <v>1154</v>
      </c>
      <c r="F433" t="str">
        <f>"00101843"</f>
        <v>00101843</v>
      </c>
      <c r="G433" t="s">
        <v>1155</v>
      </c>
      <c r="H433" t="s">
        <v>20</v>
      </c>
      <c r="I433">
        <v>1480</v>
      </c>
      <c r="J433" t="s">
        <v>21</v>
      </c>
      <c r="K433">
        <v>0</v>
      </c>
      <c r="M433">
        <v>1700</v>
      </c>
    </row>
    <row r="434" spans="1:13">
      <c r="A434">
        <v>428</v>
      </c>
      <c r="B434">
        <v>104549</v>
      </c>
      <c r="C434" t="s">
        <v>1156</v>
      </c>
      <c r="D434" t="s">
        <v>218</v>
      </c>
      <c r="E434" t="s">
        <v>1157</v>
      </c>
      <c r="F434" t="str">
        <f>"201511005742"</f>
        <v>201511005742</v>
      </c>
      <c r="G434" t="s">
        <v>150</v>
      </c>
      <c r="H434" t="s">
        <v>151</v>
      </c>
      <c r="I434">
        <v>1699</v>
      </c>
      <c r="J434" t="s">
        <v>21</v>
      </c>
      <c r="K434">
        <v>0</v>
      </c>
      <c r="M434">
        <v>1318</v>
      </c>
    </row>
    <row r="435" spans="1:13">
      <c r="A435">
        <v>429</v>
      </c>
      <c r="B435">
        <v>89750</v>
      </c>
      <c r="C435" t="s">
        <v>1158</v>
      </c>
      <c r="D435" t="s">
        <v>76</v>
      </c>
      <c r="E435" t="s">
        <v>1159</v>
      </c>
      <c r="F435" t="str">
        <f>"00394721"</f>
        <v>00394721</v>
      </c>
      <c r="G435" t="s">
        <v>1160</v>
      </c>
      <c r="H435" t="s">
        <v>20</v>
      </c>
      <c r="I435">
        <v>1424</v>
      </c>
      <c r="J435" t="s">
        <v>21</v>
      </c>
      <c r="K435">
        <v>0</v>
      </c>
      <c r="L435" t="s">
        <v>35</v>
      </c>
      <c r="M435">
        <v>1372</v>
      </c>
    </row>
    <row r="436" spans="1:13">
      <c r="A436">
        <v>430</v>
      </c>
      <c r="B436">
        <v>65489</v>
      </c>
      <c r="C436" t="s">
        <v>1161</v>
      </c>
      <c r="D436" t="s">
        <v>65</v>
      </c>
      <c r="E436" t="s">
        <v>1162</v>
      </c>
      <c r="F436" t="str">
        <f>"201604000101"</f>
        <v>201604000101</v>
      </c>
      <c r="G436" t="s">
        <v>856</v>
      </c>
      <c r="H436" t="s">
        <v>366</v>
      </c>
      <c r="I436">
        <v>1706</v>
      </c>
      <c r="J436" t="s">
        <v>21</v>
      </c>
      <c r="K436">
        <v>0</v>
      </c>
      <c r="M436">
        <v>1488</v>
      </c>
    </row>
    <row r="437" spans="1:13">
      <c r="A437">
        <v>431</v>
      </c>
      <c r="B437">
        <v>60839</v>
      </c>
      <c r="C437" t="s">
        <v>1163</v>
      </c>
      <c r="D437" t="s">
        <v>218</v>
      </c>
      <c r="E437" t="s">
        <v>1164</v>
      </c>
      <c r="F437" t="str">
        <f>"201511018295"</f>
        <v>201511018295</v>
      </c>
      <c r="G437" t="s">
        <v>1165</v>
      </c>
      <c r="H437" t="s">
        <v>20</v>
      </c>
      <c r="I437">
        <v>1422</v>
      </c>
      <c r="J437" t="s">
        <v>21</v>
      </c>
      <c r="K437">
        <v>0</v>
      </c>
      <c r="M437">
        <v>1778</v>
      </c>
    </row>
    <row r="438" spans="1:13">
      <c r="A438">
        <v>432</v>
      </c>
      <c r="B438">
        <v>54171</v>
      </c>
      <c r="C438" t="s">
        <v>1166</v>
      </c>
      <c r="D438" t="s">
        <v>98</v>
      </c>
      <c r="E438" t="s">
        <v>1167</v>
      </c>
      <c r="F438" t="str">
        <f>"201406007300"</f>
        <v>201406007300</v>
      </c>
      <c r="G438" t="s">
        <v>78</v>
      </c>
      <c r="H438" t="s">
        <v>20</v>
      </c>
      <c r="I438">
        <v>1460</v>
      </c>
      <c r="J438" t="s">
        <v>21</v>
      </c>
      <c r="K438">
        <v>0</v>
      </c>
      <c r="L438" t="s">
        <v>88</v>
      </c>
      <c r="M438">
        <v>1000</v>
      </c>
    </row>
    <row r="439" spans="1:13">
      <c r="A439">
        <v>433</v>
      </c>
      <c r="B439">
        <v>55384</v>
      </c>
      <c r="C439" t="s">
        <v>1168</v>
      </c>
      <c r="D439" t="s">
        <v>121</v>
      </c>
      <c r="E439" t="s">
        <v>1169</v>
      </c>
      <c r="F439" t="str">
        <f>"201604001158"</f>
        <v>201604001158</v>
      </c>
      <c r="G439" t="s">
        <v>82</v>
      </c>
      <c r="H439" t="s">
        <v>20</v>
      </c>
      <c r="I439">
        <v>1475</v>
      </c>
      <c r="J439" t="s">
        <v>21</v>
      </c>
      <c r="K439">
        <v>0</v>
      </c>
      <c r="M439">
        <v>1958</v>
      </c>
    </row>
    <row r="440" spans="1:13">
      <c r="A440">
        <v>434</v>
      </c>
      <c r="B440">
        <v>101657</v>
      </c>
      <c r="C440" t="s">
        <v>1170</v>
      </c>
      <c r="D440" t="s">
        <v>90</v>
      </c>
      <c r="E440" t="s">
        <v>1171</v>
      </c>
      <c r="F440" t="str">
        <f>"00186786"</f>
        <v>00186786</v>
      </c>
      <c r="G440" t="s">
        <v>596</v>
      </c>
      <c r="H440" t="s">
        <v>20</v>
      </c>
      <c r="I440">
        <v>1562</v>
      </c>
      <c r="J440" t="s">
        <v>21</v>
      </c>
      <c r="K440">
        <v>0</v>
      </c>
      <c r="L440" t="s">
        <v>59</v>
      </c>
      <c r="M440">
        <v>688</v>
      </c>
    </row>
    <row r="441" spans="1:13">
      <c r="A441">
        <v>435</v>
      </c>
      <c r="B441">
        <v>63082</v>
      </c>
      <c r="C441" t="s">
        <v>1172</v>
      </c>
      <c r="D441" t="s">
        <v>373</v>
      </c>
      <c r="E441" t="s">
        <v>1173</v>
      </c>
      <c r="F441" t="str">
        <f>"200712002362"</f>
        <v>200712002362</v>
      </c>
      <c r="G441" t="s">
        <v>107</v>
      </c>
      <c r="H441" t="s">
        <v>20</v>
      </c>
      <c r="I441">
        <v>1472</v>
      </c>
      <c r="J441" t="s">
        <v>21</v>
      </c>
      <c r="K441">
        <v>0</v>
      </c>
      <c r="M441">
        <v>1488</v>
      </c>
    </row>
    <row r="442" spans="1:13">
      <c r="A442">
        <v>436</v>
      </c>
      <c r="B442">
        <v>73771</v>
      </c>
      <c r="C442" t="s">
        <v>1174</v>
      </c>
      <c r="D442" t="s">
        <v>243</v>
      </c>
      <c r="E442" t="s">
        <v>1175</v>
      </c>
      <c r="F442" t="str">
        <f>"00382134"</f>
        <v>00382134</v>
      </c>
      <c r="G442" t="s">
        <v>721</v>
      </c>
      <c r="H442" t="s">
        <v>20</v>
      </c>
      <c r="I442">
        <v>1575</v>
      </c>
      <c r="J442" t="s">
        <v>21</v>
      </c>
      <c r="K442">
        <v>0</v>
      </c>
      <c r="M442">
        <v>1318</v>
      </c>
    </row>
    <row r="443" spans="1:13">
      <c r="A443">
        <v>437</v>
      </c>
      <c r="B443">
        <v>82184</v>
      </c>
      <c r="C443" t="s">
        <v>1176</v>
      </c>
      <c r="D443" t="s">
        <v>90</v>
      </c>
      <c r="E443" t="s">
        <v>1177</v>
      </c>
      <c r="F443" t="str">
        <f>"00321723"</f>
        <v>00321723</v>
      </c>
      <c r="G443" t="s">
        <v>125</v>
      </c>
      <c r="H443" t="s">
        <v>20</v>
      </c>
      <c r="I443">
        <v>1507</v>
      </c>
      <c r="J443" t="s">
        <v>21</v>
      </c>
      <c r="K443">
        <v>0</v>
      </c>
      <c r="L443" t="s">
        <v>35</v>
      </c>
      <c r="M443">
        <v>1171</v>
      </c>
    </row>
    <row r="444" spans="1:13">
      <c r="A444">
        <v>438</v>
      </c>
      <c r="B444">
        <v>68874</v>
      </c>
      <c r="C444" t="s">
        <v>1178</v>
      </c>
      <c r="D444" t="s">
        <v>102</v>
      </c>
      <c r="E444" t="s">
        <v>1179</v>
      </c>
      <c r="F444" t="str">
        <f>"00372392"</f>
        <v>00372392</v>
      </c>
      <c r="G444" t="s">
        <v>107</v>
      </c>
      <c r="H444" t="s">
        <v>20</v>
      </c>
      <c r="I444">
        <v>1472</v>
      </c>
      <c r="J444" t="s">
        <v>21</v>
      </c>
      <c r="K444">
        <v>0</v>
      </c>
      <c r="L444" t="s">
        <v>35</v>
      </c>
      <c r="M444">
        <v>908</v>
      </c>
    </row>
    <row r="445" spans="1:13">
      <c r="A445">
        <v>439</v>
      </c>
      <c r="B445">
        <v>78159</v>
      </c>
      <c r="C445" t="s">
        <v>1180</v>
      </c>
      <c r="D445" t="s">
        <v>105</v>
      </c>
      <c r="E445" t="s">
        <v>1181</v>
      </c>
      <c r="F445" t="str">
        <f>"00096549"</f>
        <v>00096549</v>
      </c>
      <c r="G445" t="s">
        <v>87</v>
      </c>
      <c r="H445" t="s">
        <v>20</v>
      </c>
      <c r="I445">
        <v>1436</v>
      </c>
      <c r="J445" t="s">
        <v>21</v>
      </c>
      <c r="K445">
        <v>0</v>
      </c>
      <c r="M445">
        <v>1438</v>
      </c>
    </row>
    <row r="446" spans="1:13">
      <c r="A446">
        <v>440</v>
      </c>
      <c r="B446">
        <v>114069</v>
      </c>
      <c r="C446" t="s">
        <v>1180</v>
      </c>
      <c r="D446" t="s">
        <v>905</v>
      </c>
      <c r="E446" t="s">
        <v>1182</v>
      </c>
      <c r="F446" t="str">
        <f>"00359971"</f>
        <v>00359971</v>
      </c>
      <c r="G446" t="s">
        <v>974</v>
      </c>
      <c r="H446" t="s">
        <v>20</v>
      </c>
      <c r="I446">
        <v>1449</v>
      </c>
      <c r="J446" t="s">
        <v>21</v>
      </c>
      <c r="K446">
        <v>6</v>
      </c>
      <c r="M446">
        <v>1288</v>
      </c>
    </row>
    <row r="447" spans="1:13">
      <c r="A447">
        <v>441</v>
      </c>
      <c r="B447">
        <v>76611</v>
      </c>
      <c r="C447" t="s">
        <v>1183</v>
      </c>
      <c r="D447" t="s">
        <v>655</v>
      </c>
      <c r="E447" t="s">
        <v>1184</v>
      </c>
      <c r="F447" t="str">
        <f>"00367331"</f>
        <v>00367331</v>
      </c>
      <c r="G447" t="s">
        <v>380</v>
      </c>
      <c r="H447" t="s">
        <v>20</v>
      </c>
      <c r="I447">
        <v>1496</v>
      </c>
      <c r="J447" t="s">
        <v>21</v>
      </c>
      <c r="K447">
        <v>0</v>
      </c>
      <c r="L447" t="s">
        <v>35</v>
      </c>
      <c r="M447">
        <v>1158</v>
      </c>
    </row>
    <row r="448" spans="1:13">
      <c r="A448">
        <v>442</v>
      </c>
      <c r="B448">
        <v>49215</v>
      </c>
      <c r="C448" t="s">
        <v>1185</v>
      </c>
      <c r="D448" t="s">
        <v>90</v>
      </c>
      <c r="E448" t="s">
        <v>1186</v>
      </c>
      <c r="F448" t="str">
        <f>"00361524"</f>
        <v>00361524</v>
      </c>
      <c r="G448" t="s">
        <v>107</v>
      </c>
      <c r="H448" t="s">
        <v>20</v>
      </c>
      <c r="I448">
        <v>1472</v>
      </c>
      <c r="J448" t="s">
        <v>21</v>
      </c>
      <c r="K448">
        <v>0</v>
      </c>
      <c r="L448" t="s">
        <v>35</v>
      </c>
      <c r="M448">
        <v>908</v>
      </c>
    </row>
    <row r="449" spans="1:13">
      <c r="A449">
        <v>443</v>
      </c>
      <c r="B449">
        <v>96281</v>
      </c>
      <c r="C449" t="s">
        <v>1187</v>
      </c>
      <c r="D449" t="s">
        <v>243</v>
      </c>
      <c r="E449" t="s">
        <v>1188</v>
      </c>
      <c r="F449" t="str">
        <f>"201511005123"</f>
        <v>201511005123</v>
      </c>
      <c r="G449" t="s">
        <v>107</v>
      </c>
      <c r="H449" t="s">
        <v>20</v>
      </c>
      <c r="I449">
        <v>1472</v>
      </c>
      <c r="J449" t="s">
        <v>21</v>
      </c>
      <c r="K449">
        <v>0</v>
      </c>
      <c r="L449" t="s">
        <v>112</v>
      </c>
      <c r="M449">
        <v>808</v>
      </c>
    </row>
    <row r="450" spans="1:13">
      <c r="A450">
        <v>444</v>
      </c>
      <c r="B450">
        <v>85739</v>
      </c>
      <c r="C450" t="s">
        <v>1189</v>
      </c>
      <c r="D450" t="s">
        <v>80</v>
      </c>
      <c r="E450" t="s">
        <v>1190</v>
      </c>
      <c r="F450" t="str">
        <f>"00288825"</f>
        <v>00288825</v>
      </c>
      <c r="G450" t="s">
        <v>200</v>
      </c>
      <c r="H450" t="s">
        <v>20</v>
      </c>
      <c r="I450">
        <v>1492</v>
      </c>
      <c r="J450" t="s">
        <v>21</v>
      </c>
      <c r="K450">
        <v>0</v>
      </c>
      <c r="M450">
        <v>1688</v>
      </c>
    </row>
    <row r="451" spans="1:13">
      <c r="A451">
        <v>445</v>
      </c>
      <c r="B451">
        <v>56186</v>
      </c>
      <c r="C451" t="s">
        <v>1191</v>
      </c>
      <c r="D451" t="s">
        <v>180</v>
      </c>
      <c r="E451" t="s">
        <v>1192</v>
      </c>
      <c r="F451" t="str">
        <f>"00385278"</f>
        <v>00385278</v>
      </c>
      <c r="G451" t="s">
        <v>125</v>
      </c>
      <c r="H451" t="s">
        <v>20</v>
      </c>
      <c r="I451">
        <v>1507</v>
      </c>
      <c r="J451" t="s">
        <v>21</v>
      </c>
      <c r="K451">
        <v>0</v>
      </c>
      <c r="M451">
        <v>1434</v>
      </c>
    </row>
    <row r="452" spans="1:13">
      <c r="A452">
        <v>446</v>
      </c>
      <c r="B452">
        <v>80571</v>
      </c>
      <c r="C452" t="s">
        <v>1193</v>
      </c>
      <c r="D452" t="s">
        <v>563</v>
      </c>
      <c r="E452" t="s">
        <v>1194</v>
      </c>
      <c r="F452" t="str">
        <f>"201511015180"</f>
        <v>201511015180</v>
      </c>
      <c r="G452" t="s">
        <v>1100</v>
      </c>
      <c r="H452" t="s">
        <v>234</v>
      </c>
      <c r="I452">
        <v>1344</v>
      </c>
      <c r="J452" t="s">
        <v>21</v>
      </c>
      <c r="K452">
        <v>6</v>
      </c>
      <c r="L452" t="s">
        <v>35</v>
      </c>
      <c r="M452">
        <v>655</v>
      </c>
    </row>
    <row r="453" spans="1:13">
      <c r="A453">
        <v>447</v>
      </c>
      <c r="B453">
        <v>67153</v>
      </c>
      <c r="C453" t="s">
        <v>1195</v>
      </c>
      <c r="D453" t="s">
        <v>80</v>
      </c>
      <c r="E453" t="s">
        <v>1196</v>
      </c>
      <c r="F453" t="str">
        <f>"00377126"</f>
        <v>00377126</v>
      </c>
      <c r="G453" t="s">
        <v>200</v>
      </c>
      <c r="H453" t="s">
        <v>20</v>
      </c>
      <c r="I453">
        <v>1492</v>
      </c>
      <c r="J453" t="s">
        <v>21</v>
      </c>
      <c r="K453">
        <v>0</v>
      </c>
      <c r="L453" t="s">
        <v>83</v>
      </c>
      <c r="M453">
        <v>1388</v>
      </c>
    </row>
    <row r="454" spans="1:13">
      <c r="A454">
        <v>448</v>
      </c>
      <c r="B454">
        <v>104104</v>
      </c>
      <c r="C454" t="s">
        <v>1197</v>
      </c>
      <c r="D454" t="s">
        <v>109</v>
      </c>
      <c r="E454" t="s">
        <v>1198</v>
      </c>
      <c r="F454" t="str">
        <f>"00366600"</f>
        <v>00366600</v>
      </c>
      <c r="G454" t="s">
        <v>47</v>
      </c>
      <c r="H454" t="s">
        <v>48</v>
      </c>
      <c r="I454">
        <v>1623</v>
      </c>
      <c r="J454" t="s">
        <v>21</v>
      </c>
      <c r="K454">
        <v>0</v>
      </c>
      <c r="L454" t="s">
        <v>35</v>
      </c>
      <c r="M454">
        <v>899</v>
      </c>
    </row>
    <row r="455" spans="1:13">
      <c r="A455">
        <v>449</v>
      </c>
      <c r="B455">
        <v>64936</v>
      </c>
      <c r="C455" t="s">
        <v>1199</v>
      </c>
      <c r="D455" t="s">
        <v>76</v>
      </c>
      <c r="E455" t="s">
        <v>1200</v>
      </c>
      <c r="F455" t="str">
        <f>"00355084"</f>
        <v>00355084</v>
      </c>
      <c r="G455" t="s">
        <v>527</v>
      </c>
      <c r="H455" t="s">
        <v>20</v>
      </c>
      <c r="I455">
        <v>1568</v>
      </c>
      <c r="J455" t="s">
        <v>21</v>
      </c>
      <c r="K455">
        <v>0</v>
      </c>
      <c r="M455">
        <v>1368</v>
      </c>
    </row>
    <row r="456" spans="1:13">
      <c r="A456">
        <v>450</v>
      </c>
      <c r="B456">
        <v>53620</v>
      </c>
      <c r="C456" t="s">
        <v>1201</v>
      </c>
      <c r="D456" t="s">
        <v>180</v>
      </c>
      <c r="E456" t="s">
        <v>1202</v>
      </c>
      <c r="F456" t="str">
        <f>"00237144"</f>
        <v>00237144</v>
      </c>
      <c r="G456" t="s">
        <v>1203</v>
      </c>
      <c r="H456" t="s">
        <v>20</v>
      </c>
      <c r="I456">
        <v>1443</v>
      </c>
      <c r="J456" t="s">
        <v>21</v>
      </c>
      <c r="K456">
        <v>0</v>
      </c>
      <c r="L456" t="s">
        <v>83</v>
      </c>
      <c r="M456">
        <v>1388</v>
      </c>
    </row>
    <row r="457" spans="1:13">
      <c r="A457">
        <v>451</v>
      </c>
      <c r="B457">
        <v>71226</v>
      </c>
      <c r="C457" t="s">
        <v>1204</v>
      </c>
      <c r="D457" t="s">
        <v>76</v>
      </c>
      <c r="E457" t="s">
        <v>1205</v>
      </c>
      <c r="F457" t="str">
        <f>"00021056"</f>
        <v>00021056</v>
      </c>
      <c r="G457" t="s">
        <v>520</v>
      </c>
      <c r="H457" t="s">
        <v>20</v>
      </c>
      <c r="I457">
        <v>1540</v>
      </c>
      <c r="J457" t="s">
        <v>21</v>
      </c>
      <c r="K457">
        <v>0</v>
      </c>
      <c r="M457">
        <v>1435</v>
      </c>
    </row>
    <row r="458" spans="1:13">
      <c r="A458">
        <v>452</v>
      </c>
      <c r="B458">
        <v>65492</v>
      </c>
      <c r="C458" t="s">
        <v>1206</v>
      </c>
      <c r="D458" t="s">
        <v>700</v>
      </c>
      <c r="E458" t="s">
        <v>1207</v>
      </c>
      <c r="F458" t="str">
        <f>"00081946"</f>
        <v>00081946</v>
      </c>
      <c r="G458" t="s">
        <v>167</v>
      </c>
      <c r="H458" t="s">
        <v>20</v>
      </c>
      <c r="I458">
        <v>1486</v>
      </c>
      <c r="J458" t="s">
        <v>21</v>
      </c>
      <c r="K458">
        <v>0</v>
      </c>
      <c r="L458" t="s">
        <v>83</v>
      </c>
      <c r="M458">
        <v>1438</v>
      </c>
    </row>
    <row r="459" spans="1:13">
      <c r="A459">
        <v>453</v>
      </c>
      <c r="B459">
        <v>54161</v>
      </c>
      <c r="C459" t="s">
        <v>1208</v>
      </c>
      <c r="D459" t="s">
        <v>90</v>
      </c>
      <c r="E459" t="s">
        <v>1209</v>
      </c>
      <c r="F459" t="str">
        <f>"00250125"</f>
        <v>00250125</v>
      </c>
      <c r="G459" t="s">
        <v>150</v>
      </c>
      <c r="H459" t="s">
        <v>151</v>
      </c>
      <c r="I459">
        <v>1699</v>
      </c>
      <c r="J459" t="s">
        <v>21</v>
      </c>
      <c r="K459">
        <v>0</v>
      </c>
      <c r="L459" t="s">
        <v>112</v>
      </c>
      <c r="M459">
        <v>808</v>
      </c>
    </row>
    <row r="460" spans="1:13">
      <c r="A460">
        <v>454</v>
      </c>
      <c r="B460">
        <v>93037</v>
      </c>
      <c r="C460" t="s">
        <v>1210</v>
      </c>
      <c r="D460" t="s">
        <v>213</v>
      </c>
      <c r="E460" t="s">
        <v>1211</v>
      </c>
      <c r="F460" t="str">
        <f>"00385683"</f>
        <v>00385683</v>
      </c>
      <c r="G460" t="s">
        <v>1107</v>
      </c>
      <c r="H460" t="s">
        <v>1212</v>
      </c>
      <c r="I460">
        <v>1654</v>
      </c>
      <c r="J460" t="s">
        <v>21</v>
      </c>
      <c r="K460">
        <v>0</v>
      </c>
      <c r="L460" t="s">
        <v>35</v>
      </c>
      <c r="M460">
        <v>911</v>
      </c>
    </row>
    <row r="461" spans="1:13">
      <c r="A461">
        <v>455</v>
      </c>
      <c r="B461">
        <v>69543</v>
      </c>
      <c r="C461" t="s">
        <v>1213</v>
      </c>
      <c r="D461" t="s">
        <v>105</v>
      </c>
      <c r="E461" t="s">
        <v>1214</v>
      </c>
      <c r="F461" t="str">
        <f>"00021338"</f>
        <v>00021338</v>
      </c>
      <c r="G461" t="s">
        <v>1215</v>
      </c>
      <c r="H461" t="s">
        <v>274</v>
      </c>
      <c r="I461">
        <v>1397</v>
      </c>
      <c r="J461" t="s">
        <v>21</v>
      </c>
      <c r="K461">
        <v>0</v>
      </c>
      <c r="M461">
        <v>1538</v>
      </c>
    </row>
    <row r="462" spans="1:13">
      <c r="A462">
        <v>456</v>
      </c>
      <c r="B462">
        <v>82982</v>
      </c>
      <c r="C462" t="s">
        <v>1216</v>
      </c>
      <c r="D462" t="s">
        <v>80</v>
      </c>
      <c r="E462" t="s">
        <v>1217</v>
      </c>
      <c r="F462" t="str">
        <f>"00371767"</f>
        <v>00371767</v>
      </c>
      <c r="G462" t="s">
        <v>1218</v>
      </c>
      <c r="H462" t="s">
        <v>20</v>
      </c>
      <c r="I462">
        <v>1581</v>
      </c>
      <c r="J462" t="s">
        <v>21</v>
      </c>
      <c r="K462">
        <v>6</v>
      </c>
      <c r="M462">
        <v>1238</v>
      </c>
    </row>
    <row r="463" spans="1:13">
      <c r="A463">
        <v>457</v>
      </c>
      <c r="B463">
        <v>89111</v>
      </c>
      <c r="C463" t="s">
        <v>1219</v>
      </c>
      <c r="D463" t="s">
        <v>105</v>
      </c>
      <c r="E463" t="s">
        <v>1220</v>
      </c>
      <c r="F463" t="str">
        <f>"00416960"</f>
        <v>00416960</v>
      </c>
      <c r="G463" t="s">
        <v>147</v>
      </c>
      <c r="H463" t="s">
        <v>20</v>
      </c>
      <c r="I463">
        <v>1529</v>
      </c>
      <c r="J463" t="s">
        <v>21</v>
      </c>
      <c r="K463">
        <v>0</v>
      </c>
      <c r="M463">
        <v>1488</v>
      </c>
    </row>
    <row r="464" spans="1:13">
      <c r="A464">
        <v>458</v>
      </c>
      <c r="B464">
        <v>96168</v>
      </c>
      <c r="C464" t="s">
        <v>1221</v>
      </c>
      <c r="D464" t="s">
        <v>145</v>
      </c>
      <c r="E464" t="s">
        <v>1222</v>
      </c>
      <c r="F464" t="str">
        <f>"00369489"</f>
        <v>00369489</v>
      </c>
      <c r="G464" t="s">
        <v>1223</v>
      </c>
      <c r="H464" t="s">
        <v>20</v>
      </c>
      <c r="I464">
        <v>1405</v>
      </c>
      <c r="J464" t="s">
        <v>21</v>
      </c>
      <c r="K464">
        <v>0</v>
      </c>
      <c r="L464" t="s">
        <v>35</v>
      </c>
      <c r="M464">
        <v>1386</v>
      </c>
    </row>
    <row r="465" spans="1:13">
      <c r="A465">
        <v>459</v>
      </c>
      <c r="B465">
        <v>87629</v>
      </c>
      <c r="C465" t="s">
        <v>1224</v>
      </c>
      <c r="D465" t="s">
        <v>145</v>
      </c>
      <c r="E465" t="s">
        <v>1225</v>
      </c>
      <c r="F465" t="str">
        <f>"00364016"</f>
        <v>00364016</v>
      </c>
      <c r="G465" t="s">
        <v>1226</v>
      </c>
      <c r="H465" t="s">
        <v>137</v>
      </c>
      <c r="I465">
        <v>1607</v>
      </c>
      <c r="J465" t="s">
        <v>21</v>
      </c>
      <c r="K465">
        <v>0</v>
      </c>
      <c r="M465">
        <v>1498</v>
      </c>
    </row>
    <row r="466" spans="1:13">
      <c r="A466">
        <v>460</v>
      </c>
      <c r="B466">
        <v>105584</v>
      </c>
      <c r="C466" t="s">
        <v>1227</v>
      </c>
      <c r="D466" t="s">
        <v>80</v>
      </c>
      <c r="E466" t="s">
        <v>1228</v>
      </c>
      <c r="F466" t="str">
        <f>"00399645"</f>
        <v>00399645</v>
      </c>
      <c r="G466" t="s">
        <v>465</v>
      </c>
      <c r="H466" t="s">
        <v>20</v>
      </c>
      <c r="I466">
        <v>1534</v>
      </c>
      <c r="J466" t="s">
        <v>21</v>
      </c>
      <c r="K466">
        <v>0</v>
      </c>
      <c r="M466">
        <v>1318</v>
      </c>
    </row>
    <row r="467" spans="1:13">
      <c r="A467">
        <v>461</v>
      </c>
      <c r="B467">
        <v>56720</v>
      </c>
      <c r="C467" t="s">
        <v>1229</v>
      </c>
      <c r="D467" t="s">
        <v>105</v>
      </c>
      <c r="E467" t="s">
        <v>1230</v>
      </c>
      <c r="F467" t="str">
        <f>"00357522"</f>
        <v>00357522</v>
      </c>
      <c r="G467" t="s">
        <v>170</v>
      </c>
      <c r="H467" t="s">
        <v>20</v>
      </c>
      <c r="I467">
        <v>1412</v>
      </c>
      <c r="J467" t="s">
        <v>21</v>
      </c>
      <c r="K467">
        <v>0</v>
      </c>
      <c r="L467" t="s">
        <v>112</v>
      </c>
      <c r="M467">
        <v>850</v>
      </c>
    </row>
    <row r="468" spans="1:13">
      <c r="A468">
        <v>462</v>
      </c>
      <c r="B468">
        <v>105294</v>
      </c>
      <c r="C468" t="s">
        <v>1231</v>
      </c>
      <c r="D468" t="s">
        <v>1232</v>
      </c>
      <c r="E468" t="s">
        <v>1233</v>
      </c>
      <c r="F468" t="str">
        <f>"00383616"</f>
        <v>00383616</v>
      </c>
      <c r="G468" t="s">
        <v>1234</v>
      </c>
      <c r="H468" t="s">
        <v>20</v>
      </c>
      <c r="I468">
        <v>1548</v>
      </c>
      <c r="J468" t="s">
        <v>21</v>
      </c>
      <c r="K468">
        <v>0</v>
      </c>
      <c r="M468">
        <v>1528</v>
      </c>
    </row>
    <row r="469" spans="1:13">
      <c r="A469">
        <v>463</v>
      </c>
      <c r="B469">
        <v>110994</v>
      </c>
      <c r="C469" t="s">
        <v>1235</v>
      </c>
      <c r="D469" t="s">
        <v>243</v>
      </c>
      <c r="E469" t="s">
        <v>1236</v>
      </c>
      <c r="F469" t="str">
        <f>"200804000761"</f>
        <v>200804000761</v>
      </c>
      <c r="G469" t="s">
        <v>47</v>
      </c>
      <c r="H469" t="s">
        <v>48</v>
      </c>
      <c r="I469">
        <v>1623</v>
      </c>
      <c r="J469" t="s">
        <v>21</v>
      </c>
      <c r="K469">
        <v>0</v>
      </c>
      <c r="L469" t="s">
        <v>35</v>
      </c>
      <c r="M469">
        <v>1019</v>
      </c>
    </row>
    <row r="470" spans="1:13">
      <c r="A470">
        <v>464</v>
      </c>
      <c r="B470">
        <v>88663</v>
      </c>
      <c r="C470" t="s">
        <v>1237</v>
      </c>
      <c r="D470" t="s">
        <v>566</v>
      </c>
      <c r="E470" t="s">
        <v>1238</v>
      </c>
      <c r="F470" t="str">
        <f>"00416712"</f>
        <v>00416712</v>
      </c>
      <c r="G470" t="s">
        <v>1239</v>
      </c>
      <c r="H470" t="s">
        <v>1240</v>
      </c>
      <c r="I470">
        <v>1368</v>
      </c>
      <c r="J470" t="s">
        <v>21</v>
      </c>
      <c r="K470">
        <v>0</v>
      </c>
      <c r="M470">
        <v>1488</v>
      </c>
    </row>
    <row r="471" spans="1:13">
      <c r="A471">
        <v>465</v>
      </c>
      <c r="B471">
        <v>85186</v>
      </c>
      <c r="C471" t="s">
        <v>1241</v>
      </c>
      <c r="D471" t="s">
        <v>90</v>
      </c>
      <c r="E471" t="s">
        <v>1242</v>
      </c>
      <c r="F471" t="str">
        <f>"00388889"</f>
        <v>00388889</v>
      </c>
      <c r="G471" t="s">
        <v>178</v>
      </c>
      <c r="H471" t="s">
        <v>20</v>
      </c>
      <c r="I471">
        <v>1519</v>
      </c>
      <c r="J471" t="s">
        <v>21</v>
      </c>
      <c r="K471">
        <v>0</v>
      </c>
      <c r="L471" t="s">
        <v>35</v>
      </c>
      <c r="M471">
        <v>1008</v>
      </c>
    </row>
    <row r="472" spans="1:13">
      <c r="A472">
        <v>466</v>
      </c>
      <c r="B472">
        <v>82016</v>
      </c>
      <c r="C472" t="s">
        <v>1243</v>
      </c>
      <c r="D472" t="s">
        <v>76</v>
      </c>
      <c r="E472" t="s">
        <v>1244</v>
      </c>
      <c r="F472" t="str">
        <f>"00404934"</f>
        <v>00404934</v>
      </c>
      <c r="G472" t="s">
        <v>1245</v>
      </c>
      <c r="H472" t="s">
        <v>20</v>
      </c>
      <c r="I472">
        <v>1527</v>
      </c>
      <c r="J472" t="s">
        <v>21</v>
      </c>
      <c r="K472">
        <v>0</v>
      </c>
      <c r="L472" t="s">
        <v>35</v>
      </c>
      <c r="M472">
        <v>1108</v>
      </c>
    </row>
    <row r="473" spans="1:13">
      <c r="A473">
        <v>467</v>
      </c>
      <c r="B473">
        <v>76076</v>
      </c>
      <c r="C473" t="s">
        <v>1246</v>
      </c>
      <c r="D473" t="s">
        <v>180</v>
      </c>
      <c r="E473" t="s">
        <v>1247</v>
      </c>
      <c r="F473" t="str">
        <f>"00347718"</f>
        <v>00347718</v>
      </c>
      <c r="G473" t="s">
        <v>107</v>
      </c>
      <c r="H473" t="s">
        <v>20</v>
      </c>
      <c r="I473">
        <v>1472</v>
      </c>
      <c r="J473" t="s">
        <v>21</v>
      </c>
      <c r="K473">
        <v>0</v>
      </c>
      <c r="L473" t="s">
        <v>112</v>
      </c>
      <c r="M473">
        <v>900</v>
      </c>
    </row>
    <row r="474" spans="1:13">
      <c r="A474">
        <v>468</v>
      </c>
      <c r="B474">
        <v>70636</v>
      </c>
      <c r="C474" t="s">
        <v>1248</v>
      </c>
      <c r="D474" t="s">
        <v>1249</v>
      </c>
      <c r="E474" t="s">
        <v>1250</v>
      </c>
      <c r="F474" t="str">
        <f>"00382007"</f>
        <v>00382007</v>
      </c>
      <c r="G474" t="s">
        <v>125</v>
      </c>
      <c r="H474" t="s">
        <v>20</v>
      </c>
      <c r="I474">
        <v>1507</v>
      </c>
      <c r="J474" t="s">
        <v>21</v>
      </c>
      <c r="K474">
        <v>0</v>
      </c>
      <c r="L474" t="s">
        <v>59</v>
      </c>
      <c r="M474">
        <v>988</v>
      </c>
    </row>
    <row r="475" spans="1:13">
      <c r="A475">
        <v>469</v>
      </c>
      <c r="B475">
        <v>111392</v>
      </c>
      <c r="C475" t="s">
        <v>1251</v>
      </c>
      <c r="D475" t="s">
        <v>373</v>
      </c>
      <c r="E475" t="s">
        <v>1252</v>
      </c>
      <c r="F475" t="str">
        <f>"00420232"</f>
        <v>00420232</v>
      </c>
      <c r="G475" t="s">
        <v>42</v>
      </c>
      <c r="H475" t="s">
        <v>43</v>
      </c>
      <c r="I475">
        <v>1712</v>
      </c>
      <c r="J475" t="s">
        <v>21</v>
      </c>
      <c r="K475">
        <v>0</v>
      </c>
      <c r="L475" t="s">
        <v>35</v>
      </c>
      <c r="M475">
        <v>1100</v>
      </c>
    </row>
    <row r="476" spans="1:13">
      <c r="A476">
        <v>470</v>
      </c>
      <c r="B476">
        <v>90761</v>
      </c>
      <c r="C476" t="s">
        <v>1253</v>
      </c>
      <c r="D476" t="s">
        <v>163</v>
      </c>
      <c r="E476" t="s">
        <v>1254</v>
      </c>
      <c r="F476" t="str">
        <f>"00028555"</f>
        <v>00028555</v>
      </c>
      <c r="G476" t="s">
        <v>380</v>
      </c>
      <c r="H476" t="s">
        <v>20</v>
      </c>
      <c r="I476">
        <v>1496</v>
      </c>
      <c r="J476" t="s">
        <v>21</v>
      </c>
      <c r="K476">
        <v>0</v>
      </c>
      <c r="L476" t="s">
        <v>83</v>
      </c>
      <c r="M476">
        <v>1368</v>
      </c>
    </row>
    <row r="477" spans="1:13">
      <c r="A477">
        <v>471</v>
      </c>
      <c r="B477">
        <v>99801</v>
      </c>
      <c r="C477" t="s">
        <v>1255</v>
      </c>
      <c r="D477" t="s">
        <v>80</v>
      </c>
      <c r="E477" t="s">
        <v>1256</v>
      </c>
      <c r="F477" t="str">
        <f>"00236597"</f>
        <v>00236597</v>
      </c>
      <c r="G477" t="s">
        <v>211</v>
      </c>
      <c r="H477" t="s">
        <v>48</v>
      </c>
      <c r="I477">
        <v>1628</v>
      </c>
      <c r="J477" t="s">
        <v>21</v>
      </c>
      <c r="K477">
        <v>0</v>
      </c>
      <c r="L477" t="s">
        <v>59</v>
      </c>
      <c r="M477">
        <v>1038</v>
      </c>
    </row>
    <row r="478" spans="1:13">
      <c r="A478">
        <v>472</v>
      </c>
      <c r="B478">
        <v>79412</v>
      </c>
      <c r="C478" t="s">
        <v>1257</v>
      </c>
      <c r="D478" t="s">
        <v>218</v>
      </c>
      <c r="E478" t="s">
        <v>1258</v>
      </c>
      <c r="F478" t="str">
        <f>"00047952"</f>
        <v>00047952</v>
      </c>
      <c r="G478" t="s">
        <v>273</v>
      </c>
      <c r="H478" t="s">
        <v>274</v>
      </c>
      <c r="I478">
        <v>1395</v>
      </c>
      <c r="J478" t="s">
        <v>21</v>
      </c>
      <c r="K478">
        <v>0</v>
      </c>
      <c r="M478">
        <v>1438</v>
      </c>
    </row>
    <row r="479" spans="1:13">
      <c r="A479">
        <v>473</v>
      </c>
      <c r="B479">
        <v>71433</v>
      </c>
      <c r="C479" t="s">
        <v>1259</v>
      </c>
      <c r="D479" t="s">
        <v>90</v>
      </c>
      <c r="E479" t="s">
        <v>1260</v>
      </c>
      <c r="F479" t="str">
        <f>"00226759"</f>
        <v>00226759</v>
      </c>
      <c r="G479" t="s">
        <v>561</v>
      </c>
      <c r="H479" t="s">
        <v>20</v>
      </c>
      <c r="I479">
        <v>1574</v>
      </c>
      <c r="J479" t="s">
        <v>21</v>
      </c>
      <c r="K479">
        <v>0</v>
      </c>
      <c r="L479" t="s">
        <v>88</v>
      </c>
      <c r="M479">
        <v>450</v>
      </c>
    </row>
    <row r="480" spans="1:13">
      <c r="A480">
        <v>474</v>
      </c>
      <c r="B480">
        <v>59847</v>
      </c>
      <c r="C480" t="s">
        <v>1261</v>
      </c>
      <c r="D480" t="s">
        <v>121</v>
      </c>
      <c r="E480" t="s">
        <v>1262</v>
      </c>
      <c r="F480" t="str">
        <f>"00259411"</f>
        <v>00259411</v>
      </c>
      <c r="G480" t="s">
        <v>1263</v>
      </c>
      <c r="H480" t="s">
        <v>20</v>
      </c>
      <c r="I480">
        <v>1542</v>
      </c>
      <c r="J480" t="s">
        <v>21</v>
      </c>
      <c r="K480">
        <v>6</v>
      </c>
      <c r="M480">
        <v>1788</v>
      </c>
    </row>
    <row r="481" spans="1:13">
      <c r="A481">
        <v>475</v>
      </c>
      <c r="B481">
        <v>78031</v>
      </c>
      <c r="C481" t="s">
        <v>1264</v>
      </c>
      <c r="D481" t="s">
        <v>94</v>
      </c>
      <c r="E481" t="s">
        <v>1265</v>
      </c>
      <c r="F481" t="str">
        <f>"00274238"</f>
        <v>00274238</v>
      </c>
      <c r="G481" t="s">
        <v>459</v>
      </c>
      <c r="H481" t="s">
        <v>20</v>
      </c>
      <c r="I481">
        <v>1485</v>
      </c>
      <c r="J481" t="s">
        <v>21</v>
      </c>
      <c r="K481">
        <v>6</v>
      </c>
      <c r="M481">
        <v>1678</v>
      </c>
    </row>
    <row r="482" spans="1:13">
      <c r="A482">
        <v>476</v>
      </c>
      <c r="B482">
        <v>81902</v>
      </c>
      <c r="C482" t="s">
        <v>1266</v>
      </c>
      <c r="D482" t="s">
        <v>1267</v>
      </c>
      <c r="E482" t="s">
        <v>1268</v>
      </c>
      <c r="F482" t="str">
        <f>"00379577"</f>
        <v>00379577</v>
      </c>
      <c r="G482" t="s">
        <v>215</v>
      </c>
      <c r="H482" t="s">
        <v>216</v>
      </c>
      <c r="I482">
        <v>1708</v>
      </c>
      <c r="J482" t="s">
        <v>21</v>
      </c>
      <c r="K482">
        <v>6</v>
      </c>
      <c r="L482" t="s">
        <v>88</v>
      </c>
      <c r="M482">
        <v>400</v>
      </c>
    </row>
    <row r="483" spans="1:13">
      <c r="A483">
        <v>477</v>
      </c>
      <c r="B483">
        <v>61766</v>
      </c>
      <c r="C483" t="s">
        <v>1269</v>
      </c>
      <c r="D483" t="s">
        <v>139</v>
      </c>
      <c r="E483" t="s">
        <v>1270</v>
      </c>
      <c r="F483" t="str">
        <f>"00252263"</f>
        <v>00252263</v>
      </c>
      <c r="G483" t="s">
        <v>19</v>
      </c>
      <c r="H483" t="s">
        <v>20</v>
      </c>
      <c r="I483">
        <v>1531</v>
      </c>
      <c r="J483" t="s">
        <v>21</v>
      </c>
      <c r="K483">
        <v>0</v>
      </c>
      <c r="L483" t="s">
        <v>35</v>
      </c>
      <c r="M483">
        <v>908</v>
      </c>
    </row>
    <row r="484" spans="1:13">
      <c r="A484">
        <v>478</v>
      </c>
      <c r="B484">
        <v>105364</v>
      </c>
      <c r="C484" t="s">
        <v>1271</v>
      </c>
      <c r="D484" t="s">
        <v>121</v>
      </c>
      <c r="E484" t="s">
        <v>1272</v>
      </c>
      <c r="F484" t="str">
        <f>"00374740"</f>
        <v>00374740</v>
      </c>
      <c r="G484" t="s">
        <v>299</v>
      </c>
      <c r="H484" t="s">
        <v>20</v>
      </c>
      <c r="I484">
        <v>1490</v>
      </c>
      <c r="J484" t="s">
        <v>21</v>
      </c>
      <c r="K484">
        <v>0</v>
      </c>
      <c r="L484" t="s">
        <v>35</v>
      </c>
      <c r="M484">
        <v>900</v>
      </c>
    </row>
    <row r="485" spans="1:13">
      <c r="A485">
        <v>479</v>
      </c>
      <c r="B485">
        <v>106189</v>
      </c>
      <c r="C485" t="s">
        <v>1273</v>
      </c>
      <c r="D485" t="s">
        <v>180</v>
      </c>
      <c r="E485" t="s">
        <v>1274</v>
      </c>
      <c r="F485" t="str">
        <f>"00368709"</f>
        <v>00368709</v>
      </c>
      <c r="G485" t="s">
        <v>341</v>
      </c>
      <c r="H485" t="s">
        <v>20</v>
      </c>
      <c r="I485">
        <v>1553</v>
      </c>
      <c r="J485" t="s">
        <v>21</v>
      </c>
      <c r="K485">
        <v>6</v>
      </c>
      <c r="M485">
        <v>1588</v>
      </c>
    </row>
    <row r="486" spans="1:13">
      <c r="A486">
        <v>480</v>
      </c>
      <c r="B486">
        <v>48643</v>
      </c>
      <c r="C486" t="s">
        <v>1275</v>
      </c>
      <c r="D486" t="s">
        <v>80</v>
      </c>
      <c r="E486" t="s">
        <v>1276</v>
      </c>
      <c r="F486" t="str">
        <f>"00286496"</f>
        <v>00286496</v>
      </c>
      <c r="G486" t="s">
        <v>1277</v>
      </c>
      <c r="H486" t="s">
        <v>1278</v>
      </c>
      <c r="I486">
        <v>1697</v>
      </c>
      <c r="J486" t="s">
        <v>21</v>
      </c>
      <c r="K486">
        <v>7</v>
      </c>
      <c r="L486" t="s">
        <v>35</v>
      </c>
      <c r="M486">
        <v>962</v>
      </c>
    </row>
    <row r="487" spans="1:13">
      <c r="A487">
        <v>481</v>
      </c>
      <c r="B487">
        <v>69080</v>
      </c>
      <c r="C487" t="s">
        <v>1279</v>
      </c>
      <c r="D487" t="s">
        <v>153</v>
      </c>
      <c r="E487" t="s">
        <v>1280</v>
      </c>
      <c r="F487" t="str">
        <f>"00027296"</f>
        <v>00027296</v>
      </c>
      <c r="G487" t="s">
        <v>371</v>
      </c>
      <c r="H487" t="s">
        <v>20</v>
      </c>
      <c r="I487">
        <v>1526</v>
      </c>
      <c r="J487" t="s">
        <v>21</v>
      </c>
      <c r="K487">
        <v>6</v>
      </c>
      <c r="L487" t="s">
        <v>35</v>
      </c>
      <c r="M487">
        <v>508</v>
      </c>
    </row>
    <row r="488" spans="1:13">
      <c r="A488">
        <v>482</v>
      </c>
      <c r="B488">
        <v>63653</v>
      </c>
      <c r="C488" t="s">
        <v>1281</v>
      </c>
      <c r="D488" t="s">
        <v>243</v>
      </c>
      <c r="E488" t="s">
        <v>1282</v>
      </c>
      <c r="F488" t="str">
        <f>"00258725"</f>
        <v>00258725</v>
      </c>
      <c r="G488" t="s">
        <v>19</v>
      </c>
      <c r="H488" t="s">
        <v>20</v>
      </c>
      <c r="I488">
        <v>1531</v>
      </c>
      <c r="J488" t="s">
        <v>21</v>
      </c>
      <c r="K488">
        <v>0</v>
      </c>
      <c r="M488">
        <v>1378</v>
      </c>
    </row>
    <row r="489" spans="1:13">
      <c r="A489">
        <v>483</v>
      </c>
      <c r="B489">
        <v>55695</v>
      </c>
      <c r="C489" t="s">
        <v>1283</v>
      </c>
      <c r="D489" t="s">
        <v>1284</v>
      </c>
      <c r="E489" t="s">
        <v>1285</v>
      </c>
      <c r="F489" t="str">
        <f>"00368367"</f>
        <v>00368367</v>
      </c>
      <c r="G489" t="s">
        <v>883</v>
      </c>
      <c r="H489" t="s">
        <v>270</v>
      </c>
      <c r="I489">
        <v>1585</v>
      </c>
      <c r="J489" t="s">
        <v>21</v>
      </c>
      <c r="K489">
        <v>0</v>
      </c>
      <c r="L489" t="s">
        <v>83</v>
      </c>
      <c r="M489">
        <v>1213</v>
      </c>
    </row>
    <row r="490" spans="1:13">
      <c r="A490">
        <v>484</v>
      </c>
      <c r="B490">
        <v>55179</v>
      </c>
      <c r="C490" t="s">
        <v>1286</v>
      </c>
      <c r="D490" t="s">
        <v>90</v>
      </c>
      <c r="E490" t="s">
        <v>1287</v>
      </c>
      <c r="F490" t="str">
        <f>"00256303"</f>
        <v>00256303</v>
      </c>
      <c r="G490" t="s">
        <v>341</v>
      </c>
      <c r="H490" t="s">
        <v>20</v>
      </c>
      <c r="I490">
        <v>1553</v>
      </c>
      <c r="J490" t="s">
        <v>21</v>
      </c>
      <c r="K490">
        <v>6</v>
      </c>
      <c r="M490">
        <v>1488</v>
      </c>
    </row>
    <row r="491" spans="1:13">
      <c r="A491">
        <v>485</v>
      </c>
      <c r="B491">
        <v>85073</v>
      </c>
      <c r="C491" t="s">
        <v>1288</v>
      </c>
      <c r="D491" t="s">
        <v>205</v>
      </c>
      <c r="E491" t="s">
        <v>1289</v>
      </c>
      <c r="F491" t="str">
        <f>"00408575"</f>
        <v>00408575</v>
      </c>
      <c r="G491" t="s">
        <v>713</v>
      </c>
      <c r="H491" t="s">
        <v>366</v>
      </c>
      <c r="I491">
        <v>1690</v>
      </c>
      <c r="J491" t="s">
        <v>21</v>
      </c>
      <c r="K491">
        <v>0</v>
      </c>
      <c r="M491">
        <v>1528</v>
      </c>
    </row>
    <row r="492" spans="1:13">
      <c r="A492">
        <v>486</v>
      </c>
      <c r="B492">
        <v>100982</v>
      </c>
      <c r="C492" t="s">
        <v>1290</v>
      </c>
      <c r="D492" t="s">
        <v>80</v>
      </c>
      <c r="E492" t="s">
        <v>1291</v>
      </c>
      <c r="F492" t="str">
        <f>"00394066"</f>
        <v>00394066</v>
      </c>
      <c r="G492" t="s">
        <v>150</v>
      </c>
      <c r="H492" t="s">
        <v>151</v>
      </c>
      <c r="I492">
        <v>1699</v>
      </c>
      <c r="J492" t="s">
        <v>21</v>
      </c>
      <c r="K492">
        <v>0</v>
      </c>
      <c r="L492" t="s">
        <v>59</v>
      </c>
      <c r="M492">
        <v>845</v>
      </c>
    </row>
    <row r="493" spans="1:13">
      <c r="A493">
        <v>487</v>
      </c>
      <c r="B493">
        <v>84751</v>
      </c>
      <c r="C493" t="s">
        <v>1292</v>
      </c>
      <c r="D493" t="s">
        <v>905</v>
      </c>
      <c r="E493" t="s">
        <v>1293</v>
      </c>
      <c r="F493" t="str">
        <f>"201511042780"</f>
        <v>201511042780</v>
      </c>
      <c r="G493" t="s">
        <v>639</v>
      </c>
      <c r="H493" t="s">
        <v>48</v>
      </c>
      <c r="I493">
        <v>1629</v>
      </c>
      <c r="J493" t="s">
        <v>21</v>
      </c>
      <c r="K493">
        <v>0</v>
      </c>
      <c r="L493" t="s">
        <v>35</v>
      </c>
      <c r="M493">
        <v>808</v>
      </c>
    </row>
    <row r="494" spans="1:13">
      <c r="A494">
        <v>488</v>
      </c>
      <c r="B494">
        <v>82540</v>
      </c>
      <c r="C494" t="s">
        <v>1294</v>
      </c>
      <c r="D494" t="s">
        <v>76</v>
      </c>
      <c r="E494" t="s">
        <v>1295</v>
      </c>
      <c r="F494" t="str">
        <f>"00294185"</f>
        <v>00294185</v>
      </c>
      <c r="G494" t="s">
        <v>1239</v>
      </c>
      <c r="H494" t="s">
        <v>1296</v>
      </c>
      <c r="I494">
        <v>1638</v>
      </c>
      <c r="J494" t="s">
        <v>21</v>
      </c>
      <c r="K494">
        <v>0</v>
      </c>
      <c r="L494" t="s">
        <v>35</v>
      </c>
      <c r="M494">
        <v>1085</v>
      </c>
    </row>
    <row r="495" spans="1:13">
      <c r="A495">
        <v>489</v>
      </c>
      <c r="B495">
        <v>46909</v>
      </c>
      <c r="C495" t="s">
        <v>1297</v>
      </c>
      <c r="D495" t="s">
        <v>76</v>
      </c>
      <c r="E495" t="s">
        <v>1298</v>
      </c>
      <c r="F495" t="str">
        <f>"00363125"</f>
        <v>00363125</v>
      </c>
      <c r="G495" t="s">
        <v>82</v>
      </c>
      <c r="H495" t="s">
        <v>20</v>
      </c>
      <c r="I495">
        <v>1475</v>
      </c>
      <c r="J495" t="s">
        <v>21</v>
      </c>
      <c r="K495">
        <v>0</v>
      </c>
      <c r="L495" t="s">
        <v>35</v>
      </c>
      <c r="M495">
        <v>1000</v>
      </c>
    </row>
    <row r="496" spans="1:13">
      <c r="A496">
        <v>490</v>
      </c>
      <c r="B496">
        <v>73800</v>
      </c>
      <c r="C496" t="s">
        <v>1299</v>
      </c>
      <c r="D496" t="s">
        <v>334</v>
      </c>
      <c r="E496" t="s">
        <v>1300</v>
      </c>
      <c r="F496" t="str">
        <f>"00101857"</f>
        <v>00101857</v>
      </c>
      <c r="G496" t="s">
        <v>67</v>
      </c>
      <c r="H496" t="s">
        <v>20</v>
      </c>
      <c r="I496">
        <v>1434</v>
      </c>
      <c r="J496" t="s">
        <v>21</v>
      </c>
      <c r="K496">
        <v>0</v>
      </c>
      <c r="M496">
        <v>1388</v>
      </c>
    </row>
    <row r="497" spans="1:13">
      <c r="A497">
        <v>491</v>
      </c>
      <c r="B497">
        <v>73855</v>
      </c>
      <c r="C497" t="s">
        <v>1301</v>
      </c>
      <c r="D497" t="s">
        <v>139</v>
      </c>
      <c r="E497" t="s">
        <v>1302</v>
      </c>
      <c r="F497" t="str">
        <f>"00354912"</f>
        <v>00354912</v>
      </c>
      <c r="G497" t="s">
        <v>511</v>
      </c>
      <c r="H497" t="s">
        <v>20</v>
      </c>
      <c r="I497">
        <v>1466</v>
      </c>
      <c r="J497" t="s">
        <v>21</v>
      </c>
      <c r="K497">
        <v>6</v>
      </c>
      <c r="L497" t="s">
        <v>35</v>
      </c>
      <c r="M497">
        <v>1108</v>
      </c>
    </row>
    <row r="498" spans="1:13">
      <c r="A498">
        <v>492</v>
      </c>
      <c r="B498">
        <v>92407</v>
      </c>
      <c r="C498" t="s">
        <v>1303</v>
      </c>
      <c r="D498" t="s">
        <v>334</v>
      </c>
      <c r="E498" t="s">
        <v>1304</v>
      </c>
      <c r="F498" t="str">
        <f>"00386814"</f>
        <v>00386814</v>
      </c>
      <c r="G498" t="s">
        <v>349</v>
      </c>
      <c r="H498" t="s">
        <v>270</v>
      </c>
      <c r="I498">
        <v>1583</v>
      </c>
      <c r="J498" t="s">
        <v>21</v>
      </c>
      <c r="K498">
        <v>0</v>
      </c>
      <c r="L498" t="s">
        <v>35</v>
      </c>
      <c r="M498">
        <v>1100</v>
      </c>
    </row>
    <row r="499" spans="1:13">
      <c r="A499">
        <v>493</v>
      </c>
      <c r="B499">
        <v>60689</v>
      </c>
      <c r="C499" t="s">
        <v>1305</v>
      </c>
      <c r="D499" t="s">
        <v>163</v>
      </c>
      <c r="E499" t="s">
        <v>1306</v>
      </c>
      <c r="F499" t="str">
        <f>"00295161"</f>
        <v>00295161</v>
      </c>
      <c r="G499" t="s">
        <v>111</v>
      </c>
      <c r="H499" t="s">
        <v>48</v>
      </c>
      <c r="I499">
        <v>1620</v>
      </c>
      <c r="J499" t="s">
        <v>21</v>
      </c>
      <c r="K499">
        <v>0</v>
      </c>
      <c r="M499">
        <v>1328</v>
      </c>
    </row>
    <row r="500" spans="1:13">
      <c r="A500">
        <v>494</v>
      </c>
      <c r="B500">
        <v>56826</v>
      </c>
      <c r="C500" t="s">
        <v>1307</v>
      </c>
      <c r="D500" t="s">
        <v>213</v>
      </c>
      <c r="E500" t="s">
        <v>1308</v>
      </c>
      <c r="F500" t="str">
        <f>"201511019270"</f>
        <v>201511019270</v>
      </c>
      <c r="G500" t="s">
        <v>87</v>
      </c>
      <c r="H500" t="s">
        <v>20</v>
      </c>
      <c r="I500">
        <v>1436</v>
      </c>
      <c r="J500" t="s">
        <v>21</v>
      </c>
      <c r="K500">
        <v>0</v>
      </c>
      <c r="L500" t="s">
        <v>35</v>
      </c>
      <c r="M500">
        <v>1072</v>
      </c>
    </row>
    <row r="501" spans="1:13">
      <c r="A501">
        <v>495</v>
      </c>
      <c r="B501">
        <v>62593</v>
      </c>
      <c r="C501" t="s">
        <v>1309</v>
      </c>
      <c r="D501" t="s">
        <v>76</v>
      </c>
      <c r="E501" t="s">
        <v>1310</v>
      </c>
      <c r="F501" t="str">
        <f>"00303059"</f>
        <v>00303059</v>
      </c>
      <c r="G501" t="s">
        <v>170</v>
      </c>
      <c r="H501" t="s">
        <v>738</v>
      </c>
      <c r="I501">
        <v>1643</v>
      </c>
      <c r="J501" t="s">
        <v>21</v>
      </c>
      <c r="K501">
        <v>0</v>
      </c>
      <c r="L501" t="s">
        <v>35</v>
      </c>
      <c r="M501">
        <v>908</v>
      </c>
    </row>
    <row r="502" spans="1:13">
      <c r="A502">
        <v>496</v>
      </c>
      <c r="B502">
        <v>103298</v>
      </c>
      <c r="C502" t="s">
        <v>1311</v>
      </c>
      <c r="D502" t="s">
        <v>145</v>
      </c>
      <c r="E502" t="s">
        <v>1312</v>
      </c>
      <c r="F502" t="str">
        <f>"00038909"</f>
        <v>00038909</v>
      </c>
      <c r="G502" t="s">
        <v>955</v>
      </c>
      <c r="H502" t="s">
        <v>274</v>
      </c>
      <c r="I502">
        <v>1391</v>
      </c>
      <c r="J502" t="s">
        <v>21</v>
      </c>
      <c r="K502">
        <v>0</v>
      </c>
      <c r="L502" t="s">
        <v>35</v>
      </c>
      <c r="M502">
        <v>1057</v>
      </c>
    </row>
    <row r="503" spans="1:13">
      <c r="A503">
        <v>497</v>
      </c>
      <c r="B503">
        <v>107278</v>
      </c>
      <c r="C503" t="s">
        <v>1313</v>
      </c>
      <c r="D503" t="s">
        <v>158</v>
      </c>
      <c r="E503" t="s">
        <v>1314</v>
      </c>
      <c r="F503" t="str">
        <f>"00420676"</f>
        <v>00420676</v>
      </c>
      <c r="G503" t="s">
        <v>1079</v>
      </c>
      <c r="H503" t="s">
        <v>20</v>
      </c>
      <c r="I503">
        <v>1433</v>
      </c>
      <c r="J503" t="s">
        <v>21</v>
      </c>
      <c r="K503">
        <v>0</v>
      </c>
      <c r="L503" t="s">
        <v>88</v>
      </c>
      <c r="M503">
        <v>600</v>
      </c>
    </row>
    <row r="504" spans="1:13">
      <c r="A504">
        <v>498</v>
      </c>
      <c r="B504">
        <v>85627</v>
      </c>
      <c r="C504" t="s">
        <v>1315</v>
      </c>
      <c r="D504" t="s">
        <v>105</v>
      </c>
      <c r="E504" t="s">
        <v>1316</v>
      </c>
      <c r="F504" t="str">
        <f>"201410000663"</f>
        <v>201410000663</v>
      </c>
      <c r="G504" t="s">
        <v>170</v>
      </c>
      <c r="H504" t="s">
        <v>20</v>
      </c>
      <c r="I504">
        <v>1412</v>
      </c>
      <c r="J504" t="s">
        <v>21</v>
      </c>
      <c r="K504">
        <v>0</v>
      </c>
      <c r="L504" t="s">
        <v>59</v>
      </c>
      <c r="M504">
        <v>811</v>
      </c>
    </row>
    <row r="505" spans="1:13">
      <c r="A505">
        <v>499</v>
      </c>
      <c r="B505">
        <v>103094</v>
      </c>
      <c r="C505" t="s">
        <v>1317</v>
      </c>
      <c r="D505" t="s">
        <v>180</v>
      </c>
      <c r="E505" t="s">
        <v>1318</v>
      </c>
      <c r="F505" t="str">
        <f>"00404552"</f>
        <v>00404552</v>
      </c>
      <c r="G505" t="s">
        <v>1107</v>
      </c>
      <c r="H505" t="s">
        <v>48</v>
      </c>
      <c r="I505">
        <v>1626</v>
      </c>
      <c r="J505" t="s">
        <v>21</v>
      </c>
      <c r="K505">
        <v>0</v>
      </c>
      <c r="M505">
        <v>1368</v>
      </c>
    </row>
    <row r="506" spans="1:13">
      <c r="A506">
        <v>500</v>
      </c>
      <c r="B506">
        <v>61778</v>
      </c>
      <c r="C506" t="s">
        <v>1319</v>
      </c>
      <c r="D506" t="s">
        <v>180</v>
      </c>
      <c r="E506" t="s">
        <v>1320</v>
      </c>
      <c r="F506" t="str">
        <f>"00318217"</f>
        <v>00318217</v>
      </c>
      <c r="G506" t="s">
        <v>1321</v>
      </c>
      <c r="H506" t="s">
        <v>234</v>
      </c>
      <c r="I506">
        <v>1330</v>
      </c>
      <c r="J506" t="s">
        <v>21</v>
      </c>
      <c r="K506">
        <v>0</v>
      </c>
      <c r="M506">
        <v>1478</v>
      </c>
    </row>
    <row r="507" spans="1:13">
      <c r="A507">
        <v>501</v>
      </c>
      <c r="B507">
        <v>106053</v>
      </c>
      <c r="C507" t="s">
        <v>1322</v>
      </c>
      <c r="D507" t="s">
        <v>238</v>
      </c>
      <c r="E507" t="s">
        <v>1323</v>
      </c>
      <c r="F507" t="str">
        <f>"00217594"</f>
        <v>00217594</v>
      </c>
      <c r="G507" t="s">
        <v>19</v>
      </c>
      <c r="H507" t="s">
        <v>20</v>
      </c>
      <c r="I507">
        <v>1531</v>
      </c>
      <c r="J507" t="s">
        <v>21</v>
      </c>
      <c r="K507">
        <v>0</v>
      </c>
      <c r="L507" t="s">
        <v>59</v>
      </c>
      <c r="M507">
        <v>1188</v>
      </c>
    </row>
    <row r="508" spans="1:13">
      <c r="A508">
        <v>502</v>
      </c>
      <c r="B508">
        <v>75007</v>
      </c>
      <c r="C508" t="s">
        <v>1324</v>
      </c>
      <c r="D508" t="s">
        <v>76</v>
      </c>
      <c r="E508" t="s">
        <v>1325</v>
      </c>
      <c r="F508" t="str">
        <f>"00402789"</f>
        <v>00402789</v>
      </c>
      <c r="G508" t="s">
        <v>600</v>
      </c>
      <c r="H508" t="s">
        <v>366</v>
      </c>
      <c r="I508">
        <v>1694</v>
      </c>
      <c r="J508" t="s">
        <v>21</v>
      </c>
      <c r="K508">
        <v>0</v>
      </c>
      <c r="L508" t="s">
        <v>35</v>
      </c>
      <c r="M508">
        <v>908</v>
      </c>
    </row>
    <row r="509" spans="1:13">
      <c r="A509">
        <v>503</v>
      </c>
      <c r="B509">
        <v>60483</v>
      </c>
      <c r="C509" t="s">
        <v>1326</v>
      </c>
      <c r="D509" t="s">
        <v>1327</v>
      </c>
      <c r="E509" t="s">
        <v>1328</v>
      </c>
      <c r="F509" t="str">
        <f>"00380938"</f>
        <v>00380938</v>
      </c>
      <c r="G509" t="s">
        <v>371</v>
      </c>
      <c r="H509" t="s">
        <v>20</v>
      </c>
      <c r="I509">
        <v>1526</v>
      </c>
      <c r="J509" t="s">
        <v>21</v>
      </c>
      <c r="K509">
        <v>6</v>
      </c>
      <c r="L509" t="s">
        <v>35</v>
      </c>
      <c r="M509">
        <v>408</v>
      </c>
    </row>
    <row r="510" spans="1:13">
      <c r="A510">
        <v>504</v>
      </c>
      <c r="B510">
        <v>49474</v>
      </c>
      <c r="C510" t="s">
        <v>1329</v>
      </c>
      <c r="D510" t="s">
        <v>180</v>
      </c>
      <c r="E510" t="s">
        <v>1330</v>
      </c>
      <c r="F510" t="str">
        <f>"00360192"</f>
        <v>00360192</v>
      </c>
      <c r="G510" t="s">
        <v>170</v>
      </c>
      <c r="H510" t="s">
        <v>20</v>
      </c>
      <c r="I510">
        <v>1412</v>
      </c>
      <c r="J510" t="s">
        <v>21</v>
      </c>
      <c r="K510">
        <v>0</v>
      </c>
      <c r="L510" t="s">
        <v>83</v>
      </c>
      <c r="M510">
        <v>1188</v>
      </c>
    </row>
    <row r="511" spans="1:13">
      <c r="A511">
        <v>505</v>
      </c>
      <c r="B511">
        <v>109161</v>
      </c>
      <c r="C511" t="s">
        <v>1331</v>
      </c>
      <c r="D511" t="s">
        <v>756</v>
      </c>
      <c r="E511" t="s">
        <v>1332</v>
      </c>
      <c r="F511" t="str">
        <f>"00411052"</f>
        <v>00411052</v>
      </c>
      <c r="G511" t="s">
        <v>299</v>
      </c>
      <c r="H511" t="s">
        <v>20</v>
      </c>
      <c r="I511">
        <v>1490</v>
      </c>
      <c r="J511" t="s">
        <v>21</v>
      </c>
      <c r="K511">
        <v>0</v>
      </c>
      <c r="L511" t="s">
        <v>59</v>
      </c>
      <c r="M511">
        <v>990</v>
      </c>
    </row>
    <row r="512" spans="1:13">
      <c r="A512">
        <v>506</v>
      </c>
      <c r="B512">
        <v>82611</v>
      </c>
      <c r="C512" t="s">
        <v>1333</v>
      </c>
      <c r="D512" t="s">
        <v>130</v>
      </c>
      <c r="E512" t="s">
        <v>1334</v>
      </c>
      <c r="F512" t="str">
        <f>"00263125"</f>
        <v>00263125</v>
      </c>
      <c r="G512" t="s">
        <v>365</v>
      </c>
      <c r="H512" t="s">
        <v>366</v>
      </c>
      <c r="I512">
        <v>1692</v>
      </c>
      <c r="J512" t="s">
        <v>21</v>
      </c>
      <c r="K512">
        <v>0</v>
      </c>
      <c r="M512">
        <v>1528</v>
      </c>
    </row>
    <row r="513" spans="1:13">
      <c r="A513">
        <v>507</v>
      </c>
      <c r="B513">
        <v>72370</v>
      </c>
      <c r="C513" t="s">
        <v>1335</v>
      </c>
      <c r="D513" t="s">
        <v>130</v>
      </c>
      <c r="E513" t="s">
        <v>1336</v>
      </c>
      <c r="F513" t="str">
        <f>"201511021486"</f>
        <v>201511021486</v>
      </c>
      <c r="G513" t="s">
        <v>856</v>
      </c>
      <c r="H513" t="s">
        <v>366</v>
      </c>
      <c r="I513">
        <v>1706</v>
      </c>
      <c r="J513" t="s">
        <v>21</v>
      </c>
      <c r="K513">
        <v>0</v>
      </c>
      <c r="M513">
        <v>1368</v>
      </c>
    </row>
    <row r="514" spans="1:13">
      <c r="A514">
        <v>508</v>
      </c>
      <c r="B514">
        <v>58991</v>
      </c>
      <c r="C514" t="s">
        <v>1337</v>
      </c>
      <c r="D514" t="s">
        <v>105</v>
      </c>
      <c r="E514" t="s">
        <v>1338</v>
      </c>
      <c r="F514" t="str">
        <f>"00383925"</f>
        <v>00383925</v>
      </c>
      <c r="G514" t="s">
        <v>92</v>
      </c>
      <c r="H514" t="s">
        <v>20</v>
      </c>
      <c r="I514">
        <v>1425</v>
      </c>
      <c r="J514" t="s">
        <v>21</v>
      </c>
      <c r="K514">
        <v>0</v>
      </c>
      <c r="L514" t="s">
        <v>35</v>
      </c>
      <c r="M514">
        <v>1154</v>
      </c>
    </row>
    <row r="515" spans="1:13">
      <c r="A515">
        <v>509</v>
      </c>
      <c r="B515">
        <v>93138</v>
      </c>
      <c r="C515" t="s">
        <v>1339</v>
      </c>
      <c r="D515" t="s">
        <v>76</v>
      </c>
      <c r="E515" t="s">
        <v>1340</v>
      </c>
      <c r="F515" t="str">
        <f>"00409982"</f>
        <v>00409982</v>
      </c>
      <c r="G515" t="s">
        <v>47</v>
      </c>
      <c r="H515" t="s">
        <v>48</v>
      </c>
      <c r="I515">
        <v>1623</v>
      </c>
      <c r="J515" t="s">
        <v>21</v>
      </c>
      <c r="K515">
        <v>0</v>
      </c>
      <c r="M515">
        <v>1328</v>
      </c>
    </row>
    <row r="516" spans="1:13">
      <c r="A516">
        <v>510</v>
      </c>
      <c r="B516">
        <v>77381</v>
      </c>
      <c r="C516" t="s">
        <v>1341</v>
      </c>
      <c r="D516" t="s">
        <v>213</v>
      </c>
      <c r="E516" t="s">
        <v>1342</v>
      </c>
      <c r="F516" t="str">
        <f>"00380858"</f>
        <v>00380858</v>
      </c>
      <c r="G516" t="s">
        <v>87</v>
      </c>
      <c r="H516" t="s">
        <v>20</v>
      </c>
      <c r="I516">
        <v>1436</v>
      </c>
      <c r="J516" t="s">
        <v>21</v>
      </c>
      <c r="K516">
        <v>0</v>
      </c>
      <c r="L516" t="s">
        <v>35</v>
      </c>
      <c r="M516">
        <v>858</v>
      </c>
    </row>
    <row r="517" spans="1:13">
      <c r="A517">
        <v>511</v>
      </c>
      <c r="B517">
        <v>74770</v>
      </c>
      <c r="C517" t="s">
        <v>1343</v>
      </c>
      <c r="D517" t="s">
        <v>243</v>
      </c>
      <c r="E517" t="s">
        <v>1344</v>
      </c>
      <c r="F517" t="str">
        <f>"00387968"</f>
        <v>00387968</v>
      </c>
      <c r="G517" t="s">
        <v>1345</v>
      </c>
      <c r="H517" t="s">
        <v>137</v>
      </c>
      <c r="I517">
        <v>1606</v>
      </c>
      <c r="J517" t="s">
        <v>21</v>
      </c>
      <c r="K517">
        <v>0</v>
      </c>
      <c r="M517">
        <v>1758</v>
      </c>
    </row>
    <row r="518" spans="1:13">
      <c r="A518">
        <v>512</v>
      </c>
      <c r="B518">
        <v>115969</v>
      </c>
      <c r="C518" t="s">
        <v>1346</v>
      </c>
      <c r="D518" t="s">
        <v>80</v>
      </c>
      <c r="E518" t="s">
        <v>1347</v>
      </c>
      <c r="F518" t="str">
        <f>"201511018860"</f>
        <v>201511018860</v>
      </c>
      <c r="G518" t="s">
        <v>33</v>
      </c>
      <c r="H518" t="s">
        <v>366</v>
      </c>
      <c r="I518">
        <v>1689</v>
      </c>
      <c r="J518" t="s">
        <v>21</v>
      </c>
      <c r="K518">
        <v>6</v>
      </c>
      <c r="L518" t="s">
        <v>35</v>
      </c>
      <c r="M518">
        <v>608</v>
      </c>
    </row>
    <row r="519" spans="1:13">
      <c r="A519">
        <v>513</v>
      </c>
      <c r="B519">
        <v>74454</v>
      </c>
      <c r="C519" t="s">
        <v>1348</v>
      </c>
      <c r="D519" t="s">
        <v>243</v>
      </c>
      <c r="E519" t="s">
        <v>1349</v>
      </c>
      <c r="F519" t="str">
        <f>"00384232"</f>
        <v>00384232</v>
      </c>
      <c r="G519" t="s">
        <v>540</v>
      </c>
      <c r="H519" t="s">
        <v>20</v>
      </c>
      <c r="I519">
        <v>1435</v>
      </c>
      <c r="J519" t="s">
        <v>21</v>
      </c>
      <c r="K519">
        <v>0</v>
      </c>
      <c r="L519" t="s">
        <v>88</v>
      </c>
      <c r="M519">
        <v>600</v>
      </c>
    </row>
    <row r="520" spans="1:13">
      <c r="A520">
        <v>514</v>
      </c>
      <c r="B520">
        <v>70465</v>
      </c>
      <c r="C520" t="s">
        <v>1350</v>
      </c>
      <c r="D520" t="s">
        <v>76</v>
      </c>
      <c r="E520" t="s">
        <v>1351</v>
      </c>
      <c r="F520" t="str">
        <f>"00383899"</f>
        <v>00383899</v>
      </c>
      <c r="G520" t="s">
        <v>1079</v>
      </c>
      <c r="H520" t="s">
        <v>20</v>
      </c>
      <c r="I520">
        <v>1433</v>
      </c>
      <c r="J520" t="s">
        <v>21</v>
      </c>
      <c r="K520">
        <v>0</v>
      </c>
      <c r="L520" t="s">
        <v>35</v>
      </c>
      <c r="M520">
        <v>958</v>
      </c>
    </row>
    <row r="521" spans="1:13">
      <c r="A521">
        <v>515</v>
      </c>
      <c r="B521">
        <v>46276</v>
      </c>
      <c r="C521" t="s">
        <v>1352</v>
      </c>
      <c r="D521" t="s">
        <v>90</v>
      </c>
      <c r="E521" t="s">
        <v>1353</v>
      </c>
      <c r="F521" t="str">
        <f>"00253633"</f>
        <v>00253633</v>
      </c>
      <c r="G521" t="s">
        <v>38</v>
      </c>
      <c r="H521" t="s">
        <v>39</v>
      </c>
      <c r="I521">
        <v>1634</v>
      </c>
      <c r="J521" t="s">
        <v>21</v>
      </c>
      <c r="K521">
        <v>6</v>
      </c>
      <c r="M521">
        <v>1453</v>
      </c>
    </row>
    <row r="522" spans="1:13">
      <c r="A522">
        <v>516</v>
      </c>
      <c r="B522">
        <v>59692</v>
      </c>
      <c r="C522" t="s">
        <v>1354</v>
      </c>
      <c r="D522" t="s">
        <v>130</v>
      </c>
      <c r="E522" t="s">
        <v>1355</v>
      </c>
      <c r="F522" t="str">
        <f>"00321923"</f>
        <v>00321923</v>
      </c>
      <c r="G522" t="s">
        <v>38</v>
      </c>
      <c r="H522" t="s">
        <v>119</v>
      </c>
      <c r="I522">
        <v>1674</v>
      </c>
      <c r="J522" t="s">
        <v>21</v>
      </c>
      <c r="K522">
        <v>6</v>
      </c>
      <c r="L522" t="s">
        <v>35</v>
      </c>
      <c r="M522">
        <v>1008</v>
      </c>
    </row>
    <row r="523" spans="1:13">
      <c r="A523">
        <v>517</v>
      </c>
      <c r="B523">
        <v>105137</v>
      </c>
      <c r="C523" t="s">
        <v>1356</v>
      </c>
      <c r="D523" t="s">
        <v>198</v>
      </c>
      <c r="E523" t="s">
        <v>1357</v>
      </c>
      <c r="F523" t="str">
        <f>"00377835"</f>
        <v>00377835</v>
      </c>
      <c r="G523" t="s">
        <v>38</v>
      </c>
      <c r="H523" t="s">
        <v>39</v>
      </c>
      <c r="I523">
        <v>1634</v>
      </c>
      <c r="J523" t="s">
        <v>21</v>
      </c>
      <c r="K523">
        <v>6</v>
      </c>
      <c r="M523">
        <v>1221</v>
      </c>
    </row>
    <row r="524" spans="1:13">
      <c r="A524">
        <v>518</v>
      </c>
      <c r="B524">
        <v>53006</v>
      </c>
      <c r="C524" t="s">
        <v>1358</v>
      </c>
      <c r="D524" t="s">
        <v>441</v>
      </c>
      <c r="E524" t="s">
        <v>1359</v>
      </c>
      <c r="F524" t="str">
        <f>"00352342"</f>
        <v>00352342</v>
      </c>
      <c r="G524" t="s">
        <v>38</v>
      </c>
      <c r="H524" t="s">
        <v>39</v>
      </c>
      <c r="I524">
        <v>1634</v>
      </c>
      <c r="J524" t="s">
        <v>21</v>
      </c>
      <c r="K524">
        <v>6</v>
      </c>
      <c r="M524">
        <v>1228</v>
      </c>
    </row>
    <row r="525" spans="1:13">
      <c r="A525">
        <v>519</v>
      </c>
      <c r="B525">
        <v>61899</v>
      </c>
      <c r="C525" t="s">
        <v>1360</v>
      </c>
      <c r="D525" t="s">
        <v>76</v>
      </c>
      <c r="E525" t="s">
        <v>1361</v>
      </c>
      <c r="F525" t="str">
        <f>"200812000026"</f>
        <v>200812000026</v>
      </c>
      <c r="G525" t="s">
        <v>892</v>
      </c>
      <c r="H525" t="s">
        <v>20</v>
      </c>
      <c r="I525">
        <v>1410</v>
      </c>
      <c r="J525" t="s">
        <v>21</v>
      </c>
      <c r="K525">
        <v>0</v>
      </c>
      <c r="M525">
        <v>1368</v>
      </c>
    </row>
    <row r="526" spans="1:13">
      <c r="A526">
        <v>520</v>
      </c>
      <c r="B526">
        <v>90265</v>
      </c>
      <c r="C526" t="s">
        <v>1362</v>
      </c>
      <c r="D526" t="s">
        <v>145</v>
      </c>
      <c r="E526" t="s">
        <v>1363</v>
      </c>
      <c r="F526" t="str">
        <f>"00388749"</f>
        <v>00388749</v>
      </c>
      <c r="G526" t="s">
        <v>713</v>
      </c>
      <c r="H526" t="s">
        <v>366</v>
      </c>
      <c r="I526">
        <v>1690</v>
      </c>
      <c r="J526" t="s">
        <v>21</v>
      </c>
      <c r="K526">
        <v>0</v>
      </c>
      <c r="L526" t="s">
        <v>35</v>
      </c>
      <c r="M526">
        <v>1175</v>
      </c>
    </row>
    <row r="527" spans="1:13">
      <c r="A527">
        <v>521</v>
      </c>
      <c r="B527">
        <v>116870</v>
      </c>
      <c r="C527" t="s">
        <v>1364</v>
      </c>
      <c r="D527" t="s">
        <v>700</v>
      </c>
      <c r="E527" t="s">
        <v>1365</v>
      </c>
      <c r="F527" t="str">
        <f>"00254663"</f>
        <v>00254663</v>
      </c>
      <c r="G527" t="s">
        <v>82</v>
      </c>
      <c r="H527" t="s">
        <v>20</v>
      </c>
      <c r="I527">
        <v>1475</v>
      </c>
      <c r="J527" t="s">
        <v>21</v>
      </c>
      <c r="K527">
        <v>0</v>
      </c>
      <c r="L527" t="s">
        <v>83</v>
      </c>
      <c r="M527">
        <v>1338</v>
      </c>
    </row>
    <row r="528" spans="1:13">
      <c r="A528">
        <v>522</v>
      </c>
      <c r="B528">
        <v>96033</v>
      </c>
      <c r="C528" t="s">
        <v>1366</v>
      </c>
      <c r="D528" t="s">
        <v>102</v>
      </c>
      <c r="E528" t="s">
        <v>1367</v>
      </c>
      <c r="F528" t="str">
        <f>"00298988"</f>
        <v>00298988</v>
      </c>
      <c r="G528" t="s">
        <v>178</v>
      </c>
      <c r="H528" t="s">
        <v>20</v>
      </c>
      <c r="I528">
        <v>1519</v>
      </c>
      <c r="J528" t="s">
        <v>21</v>
      </c>
      <c r="K528">
        <v>0</v>
      </c>
      <c r="L528" t="s">
        <v>35</v>
      </c>
      <c r="M528">
        <v>1036</v>
      </c>
    </row>
    <row r="529" spans="1:13">
      <c r="A529">
        <v>523</v>
      </c>
      <c r="B529">
        <v>67499</v>
      </c>
      <c r="C529" t="s">
        <v>1368</v>
      </c>
      <c r="D529" t="s">
        <v>76</v>
      </c>
      <c r="E529" t="s">
        <v>1369</v>
      </c>
      <c r="F529" t="str">
        <f>"201511022532"</f>
        <v>201511022532</v>
      </c>
      <c r="G529" t="s">
        <v>107</v>
      </c>
      <c r="H529" t="s">
        <v>20</v>
      </c>
      <c r="I529">
        <v>1472</v>
      </c>
      <c r="J529" t="s">
        <v>21</v>
      </c>
      <c r="K529">
        <v>0</v>
      </c>
      <c r="L529" t="s">
        <v>59</v>
      </c>
      <c r="M529">
        <v>1028</v>
      </c>
    </row>
    <row r="530" spans="1:13">
      <c r="A530">
        <v>524</v>
      </c>
      <c r="B530">
        <v>49407</v>
      </c>
      <c r="C530" t="s">
        <v>1370</v>
      </c>
      <c r="D530" t="s">
        <v>218</v>
      </c>
      <c r="E530" t="s">
        <v>1371</v>
      </c>
      <c r="F530" t="str">
        <f>"00354270"</f>
        <v>00354270</v>
      </c>
      <c r="G530" t="s">
        <v>718</v>
      </c>
      <c r="H530" t="s">
        <v>48</v>
      </c>
      <c r="I530">
        <v>1625</v>
      </c>
      <c r="J530" t="s">
        <v>21</v>
      </c>
      <c r="K530">
        <v>0</v>
      </c>
      <c r="L530" t="s">
        <v>35</v>
      </c>
      <c r="M530">
        <v>1275</v>
      </c>
    </row>
    <row r="531" spans="1:13">
      <c r="A531">
        <v>525</v>
      </c>
      <c r="B531">
        <v>57536</v>
      </c>
      <c r="C531" t="s">
        <v>1372</v>
      </c>
      <c r="D531" t="s">
        <v>102</v>
      </c>
      <c r="E531" t="s">
        <v>1373</v>
      </c>
      <c r="F531" t="str">
        <f>"00253043"</f>
        <v>00253043</v>
      </c>
      <c r="G531" t="s">
        <v>502</v>
      </c>
      <c r="H531" t="s">
        <v>503</v>
      </c>
      <c r="I531">
        <v>1359</v>
      </c>
      <c r="J531" t="s">
        <v>21</v>
      </c>
      <c r="K531">
        <v>0</v>
      </c>
      <c r="M531">
        <v>1728</v>
      </c>
    </row>
    <row r="532" spans="1:13">
      <c r="A532">
        <v>526</v>
      </c>
      <c r="B532">
        <v>111432</v>
      </c>
      <c r="C532" t="s">
        <v>1374</v>
      </c>
      <c r="D532" t="s">
        <v>1375</v>
      </c>
      <c r="E532" t="s">
        <v>1376</v>
      </c>
      <c r="F532" t="str">
        <f>"00315830"</f>
        <v>00315830</v>
      </c>
      <c r="G532" t="s">
        <v>70</v>
      </c>
      <c r="H532" t="s">
        <v>1377</v>
      </c>
      <c r="I532">
        <v>1703</v>
      </c>
      <c r="J532" t="s">
        <v>21</v>
      </c>
      <c r="K532">
        <v>0</v>
      </c>
      <c r="L532" t="s">
        <v>35</v>
      </c>
      <c r="M532">
        <v>1025</v>
      </c>
    </row>
    <row r="533" spans="1:13">
      <c r="A533">
        <v>527</v>
      </c>
      <c r="B533">
        <v>53740</v>
      </c>
      <c r="C533" t="s">
        <v>1378</v>
      </c>
      <c r="D533" t="s">
        <v>180</v>
      </c>
      <c r="E533" t="s">
        <v>1379</v>
      </c>
      <c r="F533" t="str">
        <f>"00362693"</f>
        <v>00362693</v>
      </c>
      <c r="G533" t="s">
        <v>258</v>
      </c>
      <c r="H533" t="s">
        <v>20</v>
      </c>
      <c r="I533">
        <v>1484</v>
      </c>
      <c r="J533" t="s">
        <v>21</v>
      </c>
      <c r="K533">
        <v>0</v>
      </c>
      <c r="L533" t="s">
        <v>35</v>
      </c>
      <c r="M533">
        <v>874</v>
      </c>
    </row>
    <row r="534" spans="1:13">
      <c r="A534">
        <v>528</v>
      </c>
      <c r="B534">
        <v>54656</v>
      </c>
      <c r="C534" t="s">
        <v>1380</v>
      </c>
      <c r="D534" t="s">
        <v>243</v>
      </c>
      <c r="E534" t="s">
        <v>1381</v>
      </c>
      <c r="F534" t="str">
        <f>"201104000181"</f>
        <v>201104000181</v>
      </c>
      <c r="G534" t="s">
        <v>488</v>
      </c>
      <c r="H534" t="s">
        <v>20</v>
      </c>
      <c r="I534">
        <v>1482</v>
      </c>
      <c r="J534" t="s">
        <v>21</v>
      </c>
      <c r="K534">
        <v>0</v>
      </c>
      <c r="M534">
        <v>1503</v>
      </c>
    </row>
    <row r="535" spans="1:13">
      <c r="A535">
        <v>529</v>
      </c>
      <c r="B535">
        <v>58506</v>
      </c>
      <c r="C535" t="s">
        <v>1382</v>
      </c>
      <c r="D535" t="s">
        <v>76</v>
      </c>
      <c r="E535" t="s">
        <v>1383</v>
      </c>
      <c r="F535" t="str">
        <f>"201511039211"</f>
        <v>201511039211</v>
      </c>
      <c r="G535" t="s">
        <v>38</v>
      </c>
      <c r="H535" t="s">
        <v>119</v>
      </c>
      <c r="I535">
        <v>1674</v>
      </c>
      <c r="J535" t="s">
        <v>21</v>
      </c>
      <c r="K535">
        <v>6</v>
      </c>
      <c r="M535">
        <v>1228</v>
      </c>
    </row>
    <row r="536" spans="1:13">
      <c r="A536">
        <v>530</v>
      </c>
      <c r="B536">
        <v>65404</v>
      </c>
      <c r="C536" t="s">
        <v>1384</v>
      </c>
      <c r="D536" t="s">
        <v>1385</v>
      </c>
      <c r="E536" t="s">
        <v>1386</v>
      </c>
      <c r="F536" t="str">
        <f>"00350195"</f>
        <v>00350195</v>
      </c>
      <c r="G536" t="s">
        <v>1387</v>
      </c>
      <c r="H536" t="s">
        <v>20</v>
      </c>
      <c r="I536">
        <v>1415</v>
      </c>
      <c r="J536" t="s">
        <v>21</v>
      </c>
      <c r="K536">
        <v>7</v>
      </c>
      <c r="L536" t="s">
        <v>35</v>
      </c>
      <c r="M536">
        <v>1008</v>
      </c>
    </row>
    <row r="537" spans="1:13">
      <c r="A537">
        <v>531</v>
      </c>
      <c r="B537">
        <v>97961</v>
      </c>
      <c r="C537" t="s">
        <v>1388</v>
      </c>
      <c r="D537" t="s">
        <v>76</v>
      </c>
      <c r="E537" t="s">
        <v>1389</v>
      </c>
      <c r="F537" t="str">
        <f>"201511024285"</f>
        <v>201511024285</v>
      </c>
      <c r="G537" t="s">
        <v>125</v>
      </c>
      <c r="H537" t="s">
        <v>20</v>
      </c>
      <c r="I537">
        <v>1507</v>
      </c>
      <c r="J537" t="s">
        <v>21</v>
      </c>
      <c r="K537">
        <v>0</v>
      </c>
      <c r="L537" t="s">
        <v>35</v>
      </c>
      <c r="M537">
        <v>987</v>
      </c>
    </row>
    <row r="538" spans="1:13">
      <c r="A538">
        <v>532</v>
      </c>
      <c r="B538">
        <v>70148</v>
      </c>
      <c r="C538" t="s">
        <v>1390</v>
      </c>
      <c r="D538" t="s">
        <v>105</v>
      </c>
      <c r="E538" t="s">
        <v>1391</v>
      </c>
      <c r="F538" t="str">
        <f>"00027925"</f>
        <v>00027925</v>
      </c>
      <c r="G538" t="s">
        <v>143</v>
      </c>
      <c r="H538" t="s">
        <v>20</v>
      </c>
      <c r="I538">
        <v>1499</v>
      </c>
      <c r="J538" t="s">
        <v>21</v>
      </c>
      <c r="K538">
        <v>0</v>
      </c>
      <c r="M538">
        <v>1488</v>
      </c>
    </row>
    <row r="539" spans="1:13">
      <c r="A539">
        <v>533</v>
      </c>
      <c r="B539">
        <v>109658</v>
      </c>
      <c r="C539" t="s">
        <v>1390</v>
      </c>
      <c r="D539" t="s">
        <v>145</v>
      </c>
      <c r="E539" t="s">
        <v>1392</v>
      </c>
      <c r="F539" t="str">
        <f>"00347379"</f>
        <v>00347379</v>
      </c>
      <c r="G539" t="s">
        <v>1393</v>
      </c>
      <c r="H539" t="s">
        <v>20</v>
      </c>
      <c r="I539">
        <v>1498</v>
      </c>
      <c r="J539" t="s">
        <v>21</v>
      </c>
      <c r="K539">
        <v>0</v>
      </c>
      <c r="M539">
        <v>1488</v>
      </c>
    </row>
    <row r="540" spans="1:13">
      <c r="A540">
        <v>534</v>
      </c>
      <c r="B540">
        <v>51945</v>
      </c>
      <c r="C540" t="s">
        <v>1394</v>
      </c>
      <c r="D540" t="s">
        <v>373</v>
      </c>
      <c r="E540" t="s">
        <v>1395</v>
      </c>
      <c r="F540" t="str">
        <f>"00358672"</f>
        <v>00358672</v>
      </c>
      <c r="G540" t="s">
        <v>718</v>
      </c>
      <c r="H540" t="s">
        <v>48</v>
      </c>
      <c r="I540">
        <v>1625</v>
      </c>
      <c r="J540" t="s">
        <v>21</v>
      </c>
      <c r="K540">
        <v>0</v>
      </c>
      <c r="M540">
        <v>1528</v>
      </c>
    </row>
    <row r="541" spans="1:13">
      <c r="A541">
        <v>535</v>
      </c>
      <c r="B541">
        <v>48072</v>
      </c>
      <c r="C541" t="s">
        <v>1396</v>
      </c>
      <c r="D541" t="s">
        <v>85</v>
      </c>
      <c r="E541" t="s">
        <v>1397</v>
      </c>
      <c r="F541" t="str">
        <f>"201410001680"</f>
        <v>201410001680</v>
      </c>
      <c r="G541" t="s">
        <v>273</v>
      </c>
      <c r="H541" t="s">
        <v>274</v>
      </c>
      <c r="I541">
        <v>1395</v>
      </c>
      <c r="J541" t="s">
        <v>21</v>
      </c>
      <c r="K541">
        <v>0</v>
      </c>
      <c r="M541">
        <v>1428</v>
      </c>
    </row>
    <row r="542" spans="1:13">
      <c r="A542">
        <v>536</v>
      </c>
      <c r="B542">
        <v>79560</v>
      </c>
      <c r="C542" t="s">
        <v>1398</v>
      </c>
      <c r="D542" t="s">
        <v>711</v>
      </c>
      <c r="E542" t="s">
        <v>1399</v>
      </c>
      <c r="F542" t="str">
        <f>"00392462"</f>
        <v>00392462</v>
      </c>
      <c r="G542" t="s">
        <v>107</v>
      </c>
      <c r="H542" t="s">
        <v>20</v>
      </c>
      <c r="I542">
        <v>1472</v>
      </c>
      <c r="J542" t="s">
        <v>21</v>
      </c>
      <c r="K542">
        <v>0</v>
      </c>
      <c r="M542">
        <v>1388</v>
      </c>
    </row>
    <row r="543" spans="1:13">
      <c r="A543">
        <v>537</v>
      </c>
      <c r="B543">
        <v>100568</v>
      </c>
      <c r="C543" t="s">
        <v>1400</v>
      </c>
      <c r="D543" t="s">
        <v>102</v>
      </c>
      <c r="E543" t="s">
        <v>1401</v>
      </c>
      <c r="F543" t="str">
        <f>"00105559"</f>
        <v>00105559</v>
      </c>
      <c r="G543" t="s">
        <v>38</v>
      </c>
      <c r="H543" t="s">
        <v>39</v>
      </c>
      <c r="I543">
        <v>1634</v>
      </c>
      <c r="J543" t="s">
        <v>21</v>
      </c>
      <c r="K543">
        <v>6</v>
      </c>
      <c r="L543" t="s">
        <v>35</v>
      </c>
      <c r="M543">
        <v>608</v>
      </c>
    </row>
    <row r="544" spans="1:13">
      <c r="A544">
        <v>538</v>
      </c>
      <c r="B544">
        <v>98593</v>
      </c>
      <c r="C544" t="s">
        <v>1402</v>
      </c>
      <c r="D544" t="s">
        <v>145</v>
      </c>
      <c r="E544" t="s">
        <v>1403</v>
      </c>
      <c r="F544" t="str">
        <f>"201604001396"</f>
        <v>201604001396</v>
      </c>
      <c r="G544" t="s">
        <v>1404</v>
      </c>
      <c r="H544" t="s">
        <v>20</v>
      </c>
      <c r="I544">
        <v>1414</v>
      </c>
      <c r="J544" t="s">
        <v>21</v>
      </c>
      <c r="K544">
        <v>0</v>
      </c>
      <c r="M544">
        <v>1474</v>
      </c>
    </row>
    <row r="545" spans="1:13">
      <c r="A545">
        <v>539</v>
      </c>
      <c r="B545">
        <v>93852</v>
      </c>
      <c r="C545" t="s">
        <v>1402</v>
      </c>
      <c r="D545" t="s">
        <v>139</v>
      </c>
      <c r="E545" t="s">
        <v>1405</v>
      </c>
      <c r="F545" t="str">
        <f>"00375218"</f>
        <v>00375218</v>
      </c>
      <c r="G545" t="s">
        <v>1404</v>
      </c>
      <c r="H545" t="s">
        <v>20</v>
      </c>
      <c r="I545">
        <v>1414</v>
      </c>
      <c r="J545" t="s">
        <v>21</v>
      </c>
      <c r="K545">
        <v>0</v>
      </c>
      <c r="L545" t="s">
        <v>35</v>
      </c>
      <c r="M545">
        <v>1108</v>
      </c>
    </row>
    <row r="546" spans="1:13">
      <c r="A546">
        <v>540</v>
      </c>
      <c r="B546">
        <v>109917</v>
      </c>
      <c r="C546" t="s">
        <v>1406</v>
      </c>
      <c r="D546" t="s">
        <v>105</v>
      </c>
      <c r="E546" t="s">
        <v>1407</v>
      </c>
      <c r="F546" t="str">
        <f>"201511032679"</f>
        <v>201511032679</v>
      </c>
      <c r="G546" t="s">
        <v>143</v>
      </c>
      <c r="H546" t="s">
        <v>20</v>
      </c>
      <c r="I546">
        <v>1499</v>
      </c>
      <c r="J546" t="s">
        <v>21</v>
      </c>
      <c r="K546">
        <v>0</v>
      </c>
      <c r="L546" t="s">
        <v>35</v>
      </c>
      <c r="M546">
        <v>1185</v>
      </c>
    </row>
    <row r="547" spans="1:13">
      <c r="A547">
        <v>541</v>
      </c>
      <c r="B547">
        <v>111676</v>
      </c>
      <c r="C547" t="s">
        <v>1408</v>
      </c>
      <c r="D547" t="s">
        <v>180</v>
      </c>
      <c r="E547" t="s">
        <v>1409</v>
      </c>
      <c r="F547" t="str">
        <f>"00402133"</f>
        <v>00402133</v>
      </c>
      <c r="G547" t="s">
        <v>763</v>
      </c>
      <c r="H547" t="s">
        <v>20</v>
      </c>
      <c r="I547">
        <v>1430</v>
      </c>
      <c r="J547" t="s">
        <v>21</v>
      </c>
      <c r="K547">
        <v>0</v>
      </c>
      <c r="L547" t="s">
        <v>88</v>
      </c>
      <c r="M547">
        <v>800</v>
      </c>
    </row>
    <row r="548" spans="1:13">
      <c r="A548">
        <v>542</v>
      </c>
      <c r="B548">
        <v>84435</v>
      </c>
      <c r="C548" t="s">
        <v>1410</v>
      </c>
      <c r="D548" t="s">
        <v>153</v>
      </c>
      <c r="E548" t="s">
        <v>1411</v>
      </c>
      <c r="F548" t="str">
        <f>"201507003081"</f>
        <v>201507003081</v>
      </c>
      <c r="G548" t="s">
        <v>47</v>
      </c>
      <c r="H548" t="s">
        <v>48</v>
      </c>
      <c r="I548">
        <v>1623</v>
      </c>
      <c r="J548" t="s">
        <v>21</v>
      </c>
      <c r="K548">
        <v>0</v>
      </c>
      <c r="M548">
        <v>1346</v>
      </c>
    </row>
    <row r="549" spans="1:13">
      <c r="A549">
        <v>543</v>
      </c>
      <c r="B549">
        <v>64782</v>
      </c>
      <c r="C549" t="s">
        <v>1412</v>
      </c>
      <c r="D549" t="s">
        <v>1413</v>
      </c>
      <c r="E549" t="s">
        <v>1414</v>
      </c>
      <c r="F549" t="str">
        <f>"00365513"</f>
        <v>00365513</v>
      </c>
      <c r="G549" t="s">
        <v>1203</v>
      </c>
      <c r="H549" t="s">
        <v>20</v>
      </c>
      <c r="I549">
        <v>1443</v>
      </c>
      <c r="J549" t="s">
        <v>21</v>
      </c>
      <c r="K549">
        <v>0</v>
      </c>
      <c r="L549" t="s">
        <v>35</v>
      </c>
      <c r="M549">
        <v>1004</v>
      </c>
    </row>
    <row r="550" spans="1:13">
      <c r="A550">
        <v>544</v>
      </c>
      <c r="B550">
        <v>105691</v>
      </c>
      <c r="C550" t="s">
        <v>1415</v>
      </c>
      <c r="D550" t="s">
        <v>76</v>
      </c>
      <c r="E550" t="s">
        <v>1416</v>
      </c>
      <c r="F550" t="str">
        <f>"00027873"</f>
        <v>00027873</v>
      </c>
      <c r="G550" t="s">
        <v>125</v>
      </c>
      <c r="H550" t="s">
        <v>20</v>
      </c>
      <c r="I550">
        <v>1507</v>
      </c>
      <c r="J550" t="s">
        <v>21</v>
      </c>
      <c r="K550">
        <v>0</v>
      </c>
      <c r="L550" t="s">
        <v>35</v>
      </c>
      <c r="M550">
        <v>1300</v>
      </c>
    </row>
    <row r="551" spans="1:13">
      <c r="A551">
        <v>545</v>
      </c>
      <c r="B551">
        <v>53917</v>
      </c>
      <c r="C551" t="s">
        <v>1417</v>
      </c>
      <c r="D551" t="s">
        <v>105</v>
      </c>
      <c r="E551" t="s">
        <v>1418</v>
      </c>
      <c r="F551" t="str">
        <f>"00357528"</f>
        <v>00357528</v>
      </c>
      <c r="G551" t="s">
        <v>883</v>
      </c>
      <c r="H551" t="s">
        <v>270</v>
      </c>
      <c r="I551">
        <v>1585</v>
      </c>
      <c r="J551" t="s">
        <v>21</v>
      </c>
      <c r="K551">
        <v>0</v>
      </c>
      <c r="L551" t="s">
        <v>88</v>
      </c>
      <c r="M551">
        <v>475</v>
      </c>
    </row>
    <row r="552" spans="1:13">
      <c r="A552">
        <v>546</v>
      </c>
      <c r="B552">
        <v>98143</v>
      </c>
      <c r="C552" t="s">
        <v>1419</v>
      </c>
      <c r="D552" t="s">
        <v>102</v>
      </c>
      <c r="E552" t="s">
        <v>1420</v>
      </c>
      <c r="F552" t="str">
        <f>"201511007132"</f>
        <v>201511007132</v>
      </c>
      <c r="G552" t="s">
        <v>1218</v>
      </c>
      <c r="H552" t="s">
        <v>20</v>
      </c>
      <c r="I552">
        <v>1581</v>
      </c>
      <c r="J552" t="s">
        <v>21</v>
      </c>
      <c r="K552">
        <v>6</v>
      </c>
      <c r="L552" t="s">
        <v>35</v>
      </c>
      <c r="M552">
        <v>708</v>
      </c>
    </row>
    <row r="553" spans="1:13">
      <c r="A553">
        <v>547</v>
      </c>
      <c r="B553">
        <v>109366</v>
      </c>
      <c r="C553" t="s">
        <v>1421</v>
      </c>
      <c r="D553" t="s">
        <v>180</v>
      </c>
      <c r="E553" t="s">
        <v>1422</v>
      </c>
      <c r="F553" t="str">
        <f>"00416621"</f>
        <v>00416621</v>
      </c>
      <c r="G553" t="s">
        <v>1005</v>
      </c>
      <c r="H553" t="s">
        <v>1423</v>
      </c>
      <c r="I553">
        <v>1688</v>
      </c>
      <c r="J553" t="s">
        <v>21</v>
      </c>
      <c r="K553">
        <v>6</v>
      </c>
      <c r="M553">
        <v>1298</v>
      </c>
    </row>
    <row r="554" spans="1:13">
      <c r="A554">
        <v>548</v>
      </c>
      <c r="B554">
        <v>71854</v>
      </c>
      <c r="C554" t="s">
        <v>1424</v>
      </c>
      <c r="D554" t="s">
        <v>243</v>
      </c>
      <c r="E554" t="s">
        <v>1425</v>
      </c>
      <c r="F554" t="str">
        <f>"00403111"</f>
        <v>00403111</v>
      </c>
      <c r="G554" t="s">
        <v>211</v>
      </c>
      <c r="H554" t="s">
        <v>48</v>
      </c>
      <c r="I554">
        <v>1628</v>
      </c>
      <c r="J554" t="s">
        <v>21</v>
      </c>
      <c r="K554">
        <v>0</v>
      </c>
      <c r="L554" t="s">
        <v>88</v>
      </c>
      <c r="M554">
        <v>485</v>
      </c>
    </row>
    <row r="555" spans="1:13">
      <c r="A555">
        <v>549</v>
      </c>
      <c r="B555">
        <v>94141</v>
      </c>
      <c r="C555" t="s">
        <v>1426</v>
      </c>
      <c r="D555" t="s">
        <v>700</v>
      </c>
      <c r="E555" t="s">
        <v>1427</v>
      </c>
      <c r="F555" t="str">
        <f>"201511023781"</f>
        <v>201511023781</v>
      </c>
      <c r="G555" t="s">
        <v>107</v>
      </c>
      <c r="H555" t="s">
        <v>20</v>
      </c>
      <c r="I555">
        <v>1472</v>
      </c>
      <c r="J555" t="s">
        <v>21</v>
      </c>
      <c r="K555">
        <v>0</v>
      </c>
      <c r="M555">
        <v>1368</v>
      </c>
    </row>
    <row r="556" spans="1:13">
      <c r="A556">
        <v>550</v>
      </c>
      <c r="B556">
        <v>102663</v>
      </c>
      <c r="C556" t="s">
        <v>1428</v>
      </c>
      <c r="D556" t="s">
        <v>76</v>
      </c>
      <c r="E556" t="s">
        <v>1429</v>
      </c>
      <c r="F556" t="str">
        <f>"00037818"</f>
        <v>00037818</v>
      </c>
      <c r="G556" t="s">
        <v>418</v>
      </c>
      <c r="H556" t="s">
        <v>234</v>
      </c>
      <c r="I556">
        <v>1335</v>
      </c>
      <c r="J556" t="s">
        <v>21</v>
      </c>
      <c r="K556">
        <v>6</v>
      </c>
      <c r="L556" t="s">
        <v>35</v>
      </c>
      <c r="M556">
        <v>1022</v>
      </c>
    </row>
    <row r="557" spans="1:13">
      <c r="A557">
        <v>551</v>
      </c>
      <c r="B557">
        <v>88344</v>
      </c>
      <c r="C557" t="s">
        <v>1430</v>
      </c>
      <c r="D557" t="s">
        <v>566</v>
      </c>
      <c r="E557" t="s">
        <v>1431</v>
      </c>
      <c r="F557" t="str">
        <f>"00418307"</f>
        <v>00418307</v>
      </c>
      <c r="G557" t="s">
        <v>713</v>
      </c>
      <c r="H557" t="s">
        <v>366</v>
      </c>
      <c r="I557">
        <v>1690</v>
      </c>
      <c r="J557" t="s">
        <v>21</v>
      </c>
      <c r="K557">
        <v>0</v>
      </c>
      <c r="L557" t="s">
        <v>35</v>
      </c>
      <c r="M557">
        <v>1258</v>
      </c>
    </row>
    <row r="558" spans="1:13">
      <c r="A558">
        <v>552</v>
      </c>
      <c r="B558">
        <v>94480</v>
      </c>
      <c r="C558" t="s">
        <v>1432</v>
      </c>
      <c r="D558" t="s">
        <v>76</v>
      </c>
      <c r="E558" t="s">
        <v>1433</v>
      </c>
      <c r="F558" t="str">
        <f>"00411512"</f>
        <v>00411512</v>
      </c>
      <c r="G558" t="s">
        <v>352</v>
      </c>
      <c r="H558" t="s">
        <v>20</v>
      </c>
      <c r="I558">
        <v>1471</v>
      </c>
      <c r="J558" t="s">
        <v>21</v>
      </c>
      <c r="K558">
        <v>0</v>
      </c>
      <c r="M558">
        <v>1427</v>
      </c>
    </row>
    <row r="559" spans="1:13">
      <c r="A559">
        <v>553</v>
      </c>
      <c r="B559">
        <v>68210</v>
      </c>
      <c r="C559" t="s">
        <v>1434</v>
      </c>
      <c r="D559" t="s">
        <v>121</v>
      </c>
      <c r="E559" t="s">
        <v>1435</v>
      </c>
      <c r="F559" t="str">
        <f>"00032261"</f>
        <v>00032261</v>
      </c>
      <c r="G559" t="s">
        <v>92</v>
      </c>
      <c r="H559" t="s">
        <v>20</v>
      </c>
      <c r="I559">
        <v>1425</v>
      </c>
      <c r="J559" t="s">
        <v>21</v>
      </c>
      <c r="K559">
        <v>0</v>
      </c>
      <c r="L559" t="s">
        <v>35</v>
      </c>
      <c r="M559">
        <v>1200</v>
      </c>
    </row>
    <row r="560" spans="1:13">
      <c r="A560">
        <v>554</v>
      </c>
      <c r="B560">
        <v>74130</v>
      </c>
      <c r="C560" t="s">
        <v>1436</v>
      </c>
      <c r="D560" t="s">
        <v>145</v>
      </c>
      <c r="E560" t="s">
        <v>1437</v>
      </c>
      <c r="F560" t="str">
        <f>"00381611"</f>
        <v>00381611</v>
      </c>
      <c r="G560" t="s">
        <v>583</v>
      </c>
      <c r="H560" t="s">
        <v>137</v>
      </c>
      <c r="I560">
        <v>1601</v>
      </c>
      <c r="J560" t="s">
        <v>21</v>
      </c>
      <c r="K560">
        <v>0</v>
      </c>
      <c r="L560" t="s">
        <v>35</v>
      </c>
      <c r="M560">
        <v>1108</v>
      </c>
    </row>
    <row r="561" spans="1:13">
      <c r="A561">
        <v>555</v>
      </c>
      <c r="B561">
        <v>96962</v>
      </c>
      <c r="C561" t="s">
        <v>1438</v>
      </c>
      <c r="D561" t="s">
        <v>145</v>
      </c>
      <c r="E561" t="s">
        <v>1439</v>
      </c>
      <c r="F561" t="str">
        <f>"00384082"</f>
        <v>00384082</v>
      </c>
      <c r="G561" t="s">
        <v>583</v>
      </c>
      <c r="H561" t="s">
        <v>137</v>
      </c>
      <c r="I561">
        <v>1601</v>
      </c>
      <c r="J561" t="s">
        <v>21</v>
      </c>
      <c r="K561">
        <v>0</v>
      </c>
      <c r="L561" t="s">
        <v>35</v>
      </c>
      <c r="M561">
        <v>908</v>
      </c>
    </row>
    <row r="562" spans="1:13">
      <c r="A562">
        <v>556</v>
      </c>
      <c r="B562">
        <v>114219</v>
      </c>
      <c r="C562" t="s">
        <v>1440</v>
      </c>
      <c r="D562" t="s">
        <v>198</v>
      </c>
      <c r="E562" t="s">
        <v>1441</v>
      </c>
      <c r="F562" t="str">
        <f>"00275694"</f>
        <v>00275694</v>
      </c>
      <c r="G562" t="s">
        <v>1442</v>
      </c>
      <c r="H562" t="s">
        <v>20</v>
      </c>
      <c r="I562">
        <v>1578</v>
      </c>
      <c r="J562" t="s">
        <v>21</v>
      </c>
      <c r="K562">
        <v>7</v>
      </c>
      <c r="M562">
        <v>1488</v>
      </c>
    </row>
    <row r="563" spans="1:13">
      <c r="A563">
        <v>557</v>
      </c>
      <c r="B563">
        <v>113475</v>
      </c>
      <c r="C563" t="s">
        <v>1443</v>
      </c>
      <c r="D563" t="s">
        <v>121</v>
      </c>
      <c r="E563" t="s">
        <v>1444</v>
      </c>
      <c r="F563" t="str">
        <f>"00407100"</f>
        <v>00407100</v>
      </c>
      <c r="G563" t="s">
        <v>1445</v>
      </c>
      <c r="H563" t="s">
        <v>535</v>
      </c>
      <c r="I563">
        <v>1665</v>
      </c>
      <c r="J563" t="s">
        <v>21</v>
      </c>
      <c r="K563">
        <v>6</v>
      </c>
      <c r="M563">
        <v>1388</v>
      </c>
    </row>
    <row r="564" spans="1:13">
      <c r="A564">
        <v>558</v>
      </c>
      <c r="B564">
        <v>68308</v>
      </c>
      <c r="C564" t="s">
        <v>1446</v>
      </c>
      <c r="D564" t="s">
        <v>80</v>
      </c>
      <c r="E564" t="s">
        <v>1447</v>
      </c>
      <c r="F564" t="str">
        <f>"00357565"</f>
        <v>00357565</v>
      </c>
      <c r="G564" t="s">
        <v>107</v>
      </c>
      <c r="H564" t="s">
        <v>20</v>
      </c>
      <c r="I564">
        <v>1472</v>
      </c>
      <c r="J564" t="s">
        <v>21</v>
      </c>
      <c r="K564">
        <v>0</v>
      </c>
      <c r="L564" t="s">
        <v>83</v>
      </c>
      <c r="M564">
        <v>1288</v>
      </c>
    </row>
    <row r="565" spans="1:13">
      <c r="A565">
        <v>559</v>
      </c>
      <c r="B565">
        <v>82807</v>
      </c>
      <c r="C565" t="s">
        <v>1448</v>
      </c>
      <c r="D565" t="s">
        <v>1449</v>
      </c>
      <c r="E565" t="s">
        <v>1450</v>
      </c>
      <c r="F565" t="str">
        <f>"00380117"</f>
        <v>00380117</v>
      </c>
      <c r="G565" t="s">
        <v>465</v>
      </c>
      <c r="H565" t="s">
        <v>20</v>
      </c>
      <c r="I565">
        <v>1534</v>
      </c>
      <c r="J565" t="s">
        <v>21</v>
      </c>
      <c r="K565">
        <v>0</v>
      </c>
      <c r="L565" t="s">
        <v>112</v>
      </c>
      <c r="M565">
        <v>808</v>
      </c>
    </row>
    <row r="566" spans="1:13">
      <c r="A566">
        <v>560</v>
      </c>
      <c r="B566">
        <v>63787</v>
      </c>
      <c r="C566" t="s">
        <v>1451</v>
      </c>
      <c r="D566" t="s">
        <v>1385</v>
      </c>
      <c r="E566" t="s">
        <v>1452</v>
      </c>
      <c r="F566" t="str">
        <f>"201511018422"</f>
        <v>201511018422</v>
      </c>
      <c r="G566" t="s">
        <v>47</v>
      </c>
      <c r="H566" t="s">
        <v>48</v>
      </c>
      <c r="I566">
        <v>1623</v>
      </c>
      <c r="J566" t="s">
        <v>21</v>
      </c>
      <c r="K566">
        <v>0</v>
      </c>
      <c r="M566">
        <v>1428</v>
      </c>
    </row>
    <row r="567" spans="1:13">
      <c r="A567">
        <v>561</v>
      </c>
      <c r="B567">
        <v>58483</v>
      </c>
      <c r="C567" t="s">
        <v>1453</v>
      </c>
      <c r="D567" t="s">
        <v>76</v>
      </c>
      <c r="E567" t="s">
        <v>1454</v>
      </c>
      <c r="F567" t="str">
        <f>"201511012272"</f>
        <v>201511012272</v>
      </c>
      <c r="G567" t="s">
        <v>82</v>
      </c>
      <c r="H567" t="s">
        <v>20</v>
      </c>
      <c r="I567">
        <v>1475</v>
      </c>
      <c r="J567" t="s">
        <v>21</v>
      </c>
      <c r="K567">
        <v>0</v>
      </c>
      <c r="L567" t="s">
        <v>35</v>
      </c>
      <c r="M567">
        <v>908</v>
      </c>
    </row>
    <row r="568" spans="1:13">
      <c r="A568">
        <v>562</v>
      </c>
      <c r="B568">
        <v>116800</v>
      </c>
      <c r="C568" t="s">
        <v>1455</v>
      </c>
      <c r="D568" t="s">
        <v>163</v>
      </c>
      <c r="E568" t="s">
        <v>1456</v>
      </c>
      <c r="F568" t="str">
        <f>"00408900"</f>
        <v>00408900</v>
      </c>
      <c r="G568" t="s">
        <v>125</v>
      </c>
      <c r="H568" t="s">
        <v>20</v>
      </c>
      <c r="I568">
        <v>1507</v>
      </c>
      <c r="J568" t="s">
        <v>21</v>
      </c>
      <c r="K568">
        <v>0</v>
      </c>
      <c r="L568" t="s">
        <v>35</v>
      </c>
      <c r="M568">
        <v>1108</v>
      </c>
    </row>
    <row r="569" spans="1:13">
      <c r="A569">
        <v>563</v>
      </c>
      <c r="B569">
        <v>111695</v>
      </c>
      <c r="C569" t="s">
        <v>1457</v>
      </c>
      <c r="D569" t="s">
        <v>139</v>
      </c>
      <c r="E569" t="s">
        <v>1458</v>
      </c>
      <c r="F569" t="str">
        <f>"00074614"</f>
        <v>00074614</v>
      </c>
      <c r="G569" t="s">
        <v>1155</v>
      </c>
      <c r="H569" t="s">
        <v>20</v>
      </c>
      <c r="I569">
        <v>1480</v>
      </c>
      <c r="J569" t="s">
        <v>21</v>
      </c>
      <c r="K569">
        <v>0</v>
      </c>
      <c r="L569" t="s">
        <v>35</v>
      </c>
      <c r="M569">
        <v>1091</v>
      </c>
    </row>
    <row r="570" spans="1:13">
      <c r="A570">
        <v>564</v>
      </c>
      <c r="B570">
        <v>88767</v>
      </c>
      <c r="C570" t="s">
        <v>1459</v>
      </c>
      <c r="D570" t="s">
        <v>711</v>
      </c>
      <c r="E570" t="s">
        <v>1460</v>
      </c>
      <c r="F570" t="str">
        <f>"00365751"</f>
        <v>00365751</v>
      </c>
      <c r="G570" t="s">
        <v>856</v>
      </c>
      <c r="H570" t="s">
        <v>366</v>
      </c>
      <c r="I570">
        <v>1706</v>
      </c>
      <c r="J570" t="s">
        <v>21</v>
      </c>
      <c r="K570">
        <v>0</v>
      </c>
      <c r="L570" t="s">
        <v>35</v>
      </c>
      <c r="M570">
        <v>1074</v>
      </c>
    </row>
    <row r="571" spans="1:13">
      <c r="A571">
        <v>565</v>
      </c>
      <c r="B571">
        <v>104838</v>
      </c>
      <c r="C571" t="s">
        <v>1461</v>
      </c>
      <c r="D571" t="s">
        <v>76</v>
      </c>
      <c r="E571" t="s">
        <v>1462</v>
      </c>
      <c r="F571" t="str">
        <f>"201511020132"</f>
        <v>201511020132</v>
      </c>
      <c r="G571" t="s">
        <v>798</v>
      </c>
      <c r="H571" t="s">
        <v>326</v>
      </c>
      <c r="I571">
        <v>1593</v>
      </c>
      <c r="J571" t="s">
        <v>21</v>
      </c>
      <c r="K571">
        <v>0</v>
      </c>
      <c r="L571" t="s">
        <v>35</v>
      </c>
      <c r="M571">
        <v>1050</v>
      </c>
    </row>
    <row r="572" spans="1:13">
      <c r="A572">
        <v>566</v>
      </c>
      <c r="B572">
        <v>93167</v>
      </c>
      <c r="C572" t="s">
        <v>1463</v>
      </c>
      <c r="D572" t="s">
        <v>218</v>
      </c>
      <c r="E572" t="s">
        <v>1464</v>
      </c>
      <c r="F572" t="str">
        <f>"00328779"</f>
        <v>00328779</v>
      </c>
      <c r="G572" t="s">
        <v>107</v>
      </c>
      <c r="H572" t="s">
        <v>20</v>
      </c>
      <c r="I572">
        <v>1472</v>
      </c>
      <c r="J572" t="s">
        <v>21</v>
      </c>
      <c r="K572">
        <v>0</v>
      </c>
      <c r="M572">
        <v>1488</v>
      </c>
    </row>
    <row r="573" spans="1:13">
      <c r="A573">
        <v>567</v>
      </c>
      <c r="B573">
        <v>50222</v>
      </c>
      <c r="C573" t="s">
        <v>1465</v>
      </c>
      <c r="D573" t="s">
        <v>655</v>
      </c>
      <c r="E573" t="s">
        <v>1466</v>
      </c>
      <c r="F573" t="str">
        <f>"00193870"</f>
        <v>00193870</v>
      </c>
      <c r="G573" t="s">
        <v>150</v>
      </c>
      <c r="H573" t="s">
        <v>151</v>
      </c>
      <c r="I573">
        <v>1699</v>
      </c>
      <c r="J573" t="s">
        <v>21</v>
      </c>
      <c r="K573">
        <v>0</v>
      </c>
      <c r="L573" t="s">
        <v>88</v>
      </c>
      <c r="M573">
        <v>475</v>
      </c>
    </row>
    <row r="574" spans="1:13">
      <c r="A574">
        <v>568</v>
      </c>
      <c r="B574">
        <v>90824</v>
      </c>
      <c r="C574" t="s">
        <v>1467</v>
      </c>
      <c r="D574" t="s">
        <v>139</v>
      </c>
      <c r="E574" t="s">
        <v>1468</v>
      </c>
      <c r="F574" t="str">
        <f>"00393362"</f>
        <v>00393362</v>
      </c>
      <c r="G574" t="s">
        <v>38</v>
      </c>
      <c r="H574" t="s">
        <v>39</v>
      </c>
      <c r="I574">
        <v>1634</v>
      </c>
      <c r="J574" t="s">
        <v>21</v>
      </c>
      <c r="K574">
        <v>6</v>
      </c>
      <c r="M574">
        <v>1132</v>
      </c>
    </row>
    <row r="575" spans="1:13">
      <c r="A575">
        <v>569</v>
      </c>
      <c r="B575">
        <v>98880</v>
      </c>
      <c r="C575" t="s">
        <v>1469</v>
      </c>
      <c r="D575" t="s">
        <v>109</v>
      </c>
      <c r="E575" t="s">
        <v>1470</v>
      </c>
      <c r="F575" t="str">
        <f>"00395054"</f>
        <v>00395054</v>
      </c>
      <c r="G575" t="s">
        <v>19</v>
      </c>
      <c r="H575" t="s">
        <v>20</v>
      </c>
      <c r="I575">
        <v>1531</v>
      </c>
      <c r="J575" t="s">
        <v>21</v>
      </c>
      <c r="K575">
        <v>0</v>
      </c>
      <c r="L575" t="s">
        <v>88</v>
      </c>
      <c r="M575">
        <v>550</v>
      </c>
    </row>
    <row r="576" spans="1:13">
      <c r="A576">
        <v>570</v>
      </c>
      <c r="B576">
        <v>97864</v>
      </c>
      <c r="C576" t="s">
        <v>1471</v>
      </c>
      <c r="D576" t="s">
        <v>76</v>
      </c>
      <c r="E576" t="s">
        <v>1472</v>
      </c>
      <c r="F576" t="str">
        <f>"00380014"</f>
        <v>00380014</v>
      </c>
      <c r="G576" t="s">
        <v>258</v>
      </c>
      <c r="H576" t="s">
        <v>20</v>
      </c>
      <c r="I576">
        <v>1484</v>
      </c>
      <c r="J576" t="s">
        <v>21</v>
      </c>
      <c r="K576">
        <v>0</v>
      </c>
      <c r="M576">
        <v>1388</v>
      </c>
    </row>
    <row r="577" spans="1:13">
      <c r="A577">
        <v>571</v>
      </c>
      <c r="B577">
        <v>105934</v>
      </c>
      <c r="C577" t="s">
        <v>1473</v>
      </c>
      <c r="D577" t="s">
        <v>1474</v>
      </c>
      <c r="E577" t="s">
        <v>1475</v>
      </c>
      <c r="F577" t="str">
        <f>"00372341"</f>
        <v>00372341</v>
      </c>
      <c r="G577" t="s">
        <v>465</v>
      </c>
      <c r="H577" t="s">
        <v>20</v>
      </c>
      <c r="I577">
        <v>1534</v>
      </c>
      <c r="J577" t="s">
        <v>21</v>
      </c>
      <c r="K577">
        <v>0</v>
      </c>
      <c r="L577" t="s">
        <v>88</v>
      </c>
      <c r="M577">
        <v>504</v>
      </c>
    </row>
    <row r="578" spans="1:13">
      <c r="A578">
        <v>572</v>
      </c>
      <c r="B578">
        <v>48106</v>
      </c>
      <c r="C578" t="s">
        <v>1476</v>
      </c>
      <c r="D578" t="s">
        <v>76</v>
      </c>
      <c r="E578" t="s">
        <v>1477</v>
      </c>
      <c r="F578" t="str">
        <f>"00103100"</f>
        <v>00103100</v>
      </c>
      <c r="G578" t="s">
        <v>395</v>
      </c>
      <c r="H578" t="s">
        <v>234</v>
      </c>
      <c r="I578">
        <v>1336</v>
      </c>
      <c r="J578" t="s">
        <v>21</v>
      </c>
      <c r="K578">
        <v>0</v>
      </c>
      <c r="L578" t="s">
        <v>35</v>
      </c>
      <c r="M578">
        <v>1008</v>
      </c>
    </row>
    <row r="579" spans="1:13">
      <c r="A579">
        <v>573</v>
      </c>
      <c r="B579">
        <v>80536</v>
      </c>
      <c r="C579" t="s">
        <v>1478</v>
      </c>
      <c r="D579" t="s">
        <v>700</v>
      </c>
      <c r="E579" t="s">
        <v>1479</v>
      </c>
      <c r="F579" t="str">
        <f>"00374686"</f>
        <v>00374686</v>
      </c>
      <c r="G579" t="s">
        <v>994</v>
      </c>
      <c r="H579" t="s">
        <v>20</v>
      </c>
      <c r="I579">
        <v>1522</v>
      </c>
      <c r="J579" t="s">
        <v>21</v>
      </c>
      <c r="K579">
        <v>0</v>
      </c>
      <c r="M579">
        <v>1378</v>
      </c>
    </row>
    <row r="580" spans="1:13">
      <c r="A580">
        <v>574</v>
      </c>
      <c r="B580">
        <v>82236</v>
      </c>
      <c r="C580" t="s">
        <v>1480</v>
      </c>
      <c r="D580" t="s">
        <v>76</v>
      </c>
      <c r="E580" t="s">
        <v>1481</v>
      </c>
      <c r="F580" t="str">
        <f>"00377949"</f>
        <v>00377949</v>
      </c>
      <c r="G580" t="s">
        <v>358</v>
      </c>
      <c r="H580" t="s">
        <v>20</v>
      </c>
      <c r="I580">
        <v>1549</v>
      </c>
      <c r="J580" t="s">
        <v>21</v>
      </c>
      <c r="K580">
        <v>0</v>
      </c>
      <c r="L580" t="s">
        <v>35</v>
      </c>
      <c r="M580">
        <v>908</v>
      </c>
    </row>
    <row r="581" spans="1:13">
      <c r="A581">
        <v>575</v>
      </c>
      <c r="B581">
        <v>77857</v>
      </c>
      <c r="C581" t="s">
        <v>1482</v>
      </c>
      <c r="D581" t="s">
        <v>90</v>
      </c>
      <c r="E581" t="s">
        <v>1483</v>
      </c>
      <c r="F581" t="str">
        <f>"00407062"</f>
        <v>00407062</v>
      </c>
      <c r="G581" t="s">
        <v>371</v>
      </c>
      <c r="H581" t="s">
        <v>20</v>
      </c>
      <c r="I581">
        <v>1526</v>
      </c>
      <c r="J581" t="s">
        <v>21</v>
      </c>
      <c r="K581">
        <v>6</v>
      </c>
      <c r="M581">
        <v>988</v>
      </c>
    </row>
    <row r="582" spans="1:13">
      <c r="A582">
        <v>576</v>
      </c>
      <c r="B582">
        <v>104938</v>
      </c>
      <c r="C582" t="s">
        <v>1484</v>
      </c>
      <c r="D582" t="s">
        <v>213</v>
      </c>
      <c r="E582" t="s">
        <v>1485</v>
      </c>
      <c r="F582" t="str">
        <f>"00384243"</f>
        <v>00384243</v>
      </c>
      <c r="G582" t="s">
        <v>676</v>
      </c>
      <c r="H582" t="s">
        <v>234</v>
      </c>
      <c r="I582">
        <v>1338</v>
      </c>
      <c r="J582" t="s">
        <v>21</v>
      </c>
      <c r="K582">
        <v>6</v>
      </c>
      <c r="M582">
        <v>1844</v>
      </c>
    </row>
    <row r="583" spans="1:13">
      <c r="A583">
        <v>577</v>
      </c>
      <c r="B583">
        <v>107680</v>
      </c>
      <c r="C583" t="s">
        <v>1486</v>
      </c>
      <c r="D583" t="s">
        <v>198</v>
      </c>
      <c r="E583" t="s">
        <v>1487</v>
      </c>
      <c r="F583" t="str">
        <f>"00419203"</f>
        <v>00419203</v>
      </c>
      <c r="G583" t="s">
        <v>1100</v>
      </c>
      <c r="H583" t="s">
        <v>234</v>
      </c>
      <c r="I583">
        <v>1344</v>
      </c>
      <c r="J583" t="s">
        <v>21</v>
      </c>
      <c r="K583">
        <v>6</v>
      </c>
      <c r="M583">
        <v>1151</v>
      </c>
    </row>
    <row r="584" spans="1:13">
      <c r="A584">
        <v>578</v>
      </c>
      <c r="B584">
        <v>94564</v>
      </c>
      <c r="C584" t="s">
        <v>1488</v>
      </c>
      <c r="D584" t="s">
        <v>1489</v>
      </c>
      <c r="E584" t="s">
        <v>1490</v>
      </c>
      <c r="F584" t="str">
        <f>"00365738"</f>
        <v>00365738</v>
      </c>
      <c r="G584" t="s">
        <v>446</v>
      </c>
      <c r="H584" t="s">
        <v>137</v>
      </c>
      <c r="I584">
        <v>1602</v>
      </c>
      <c r="J584" t="s">
        <v>21</v>
      </c>
      <c r="K584">
        <v>0</v>
      </c>
      <c r="L584" t="s">
        <v>35</v>
      </c>
      <c r="M584">
        <v>1008</v>
      </c>
    </row>
    <row r="585" spans="1:13">
      <c r="A585">
        <v>579</v>
      </c>
      <c r="B585">
        <v>112909</v>
      </c>
      <c r="C585" t="s">
        <v>1491</v>
      </c>
      <c r="D585" t="s">
        <v>1492</v>
      </c>
      <c r="E585" t="s">
        <v>1493</v>
      </c>
      <c r="F585" t="str">
        <f>"00396855"</f>
        <v>00396855</v>
      </c>
      <c r="G585" t="s">
        <v>791</v>
      </c>
      <c r="H585" t="s">
        <v>20</v>
      </c>
      <c r="I585">
        <v>1506</v>
      </c>
      <c r="J585" t="s">
        <v>21</v>
      </c>
      <c r="K585">
        <v>0</v>
      </c>
      <c r="L585" t="s">
        <v>35</v>
      </c>
      <c r="M585">
        <v>1100</v>
      </c>
    </row>
    <row r="586" spans="1:13">
      <c r="A586">
        <v>580</v>
      </c>
      <c r="B586">
        <v>74879</v>
      </c>
      <c r="C586" t="s">
        <v>1494</v>
      </c>
      <c r="D586" t="s">
        <v>121</v>
      </c>
      <c r="E586" t="s">
        <v>1495</v>
      </c>
      <c r="F586" t="str">
        <f>"00371619"</f>
        <v>00371619</v>
      </c>
      <c r="G586" t="s">
        <v>1125</v>
      </c>
      <c r="H586" t="s">
        <v>20</v>
      </c>
      <c r="I586">
        <v>1431</v>
      </c>
      <c r="J586" t="s">
        <v>21</v>
      </c>
      <c r="K586">
        <v>0</v>
      </c>
      <c r="L586" t="s">
        <v>88</v>
      </c>
      <c r="M586">
        <v>608</v>
      </c>
    </row>
    <row r="587" spans="1:13">
      <c r="A587">
        <v>581</v>
      </c>
      <c r="B587">
        <v>110759</v>
      </c>
      <c r="C587" t="s">
        <v>1496</v>
      </c>
      <c r="D587" t="s">
        <v>180</v>
      </c>
      <c r="E587" t="s">
        <v>1497</v>
      </c>
      <c r="F587" t="str">
        <f>"00416558"</f>
        <v>00416558</v>
      </c>
      <c r="G587" t="s">
        <v>1498</v>
      </c>
      <c r="H587" t="s">
        <v>1499</v>
      </c>
      <c r="I587">
        <v>1598</v>
      </c>
      <c r="J587" t="s">
        <v>21</v>
      </c>
      <c r="K587">
        <v>6</v>
      </c>
      <c r="L587" t="s">
        <v>59</v>
      </c>
      <c r="M587">
        <v>1098</v>
      </c>
    </row>
    <row r="588" spans="1:13">
      <c r="A588">
        <v>582</v>
      </c>
      <c r="B588">
        <v>103329</v>
      </c>
      <c r="C588" t="s">
        <v>1500</v>
      </c>
      <c r="D588" t="s">
        <v>139</v>
      </c>
      <c r="E588" t="s">
        <v>1501</v>
      </c>
      <c r="F588" t="str">
        <f>"00386439"</f>
        <v>00386439</v>
      </c>
      <c r="G588" t="s">
        <v>70</v>
      </c>
      <c r="H588" t="s">
        <v>71</v>
      </c>
      <c r="I588">
        <v>1702</v>
      </c>
      <c r="J588" t="s">
        <v>21</v>
      </c>
      <c r="K588">
        <v>0</v>
      </c>
      <c r="L588" t="s">
        <v>59</v>
      </c>
      <c r="M588">
        <v>838</v>
      </c>
    </row>
    <row r="589" spans="1:13">
      <c r="A589">
        <v>583</v>
      </c>
      <c r="B589">
        <v>50274</v>
      </c>
      <c r="C589" t="s">
        <v>1502</v>
      </c>
      <c r="D589" t="s">
        <v>914</v>
      </c>
      <c r="E589" t="s">
        <v>1503</v>
      </c>
      <c r="F589" t="str">
        <f>"00356176"</f>
        <v>00356176</v>
      </c>
      <c r="G589" t="s">
        <v>1504</v>
      </c>
      <c r="H589" t="s">
        <v>234</v>
      </c>
      <c r="I589">
        <v>1334</v>
      </c>
      <c r="J589" t="s">
        <v>21</v>
      </c>
      <c r="K589">
        <v>6</v>
      </c>
      <c r="M589">
        <v>1528</v>
      </c>
    </row>
    <row r="590" spans="1:13">
      <c r="A590">
        <v>584</v>
      </c>
      <c r="B590">
        <v>95803</v>
      </c>
      <c r="C590" t="s">
        <v>1505</v>
      </c>
      <c r="D590" t="s">
        <v>145</v>
      </c>
      <c r="E590" t="s">
        <v>1506</v>
      </c>
      <c r="F590" t="str">
        <f>"00395628"</f>
        <v>00395628</v>
      </c>
      <c r="G590" t="s">
        <v>1005</v>
      </c>
      <c r="H590" t="s">
        <v>535</v>
      </c>
      <c r="I590">
        <v>1355</v>
      </c>
      <c r="J590" t="s">
        <v>21</v>
      </c>
      <c r="K590">
        <v>6</v>
      </c>
      <c r="M590">
        <v>1428</v>
      </c>
    </row>
    <row r="591" spans="1:13">
      <c r="A591">
        <v>585</v>
      </c>
      <c r="B591">
        <v>79720</v>
      </c>
      <c r="C591" t="s">
        <v>1507</v>
      </c>
      <c r="D591" t="s">
        <v>145</v>
      </c>
      <c r="E591" t="s">
        <v>1508</v>
      </c>
      <c r="F591" t="str">
        <f>"00405618"</f>
        <v>00405618</v>
      </c>
      <c r="G591" t="s">
        <v>1509</v>
      </c>
      <c r="H591" t="s">
        <v>20</v>
      </c>
      <c r="I591">
        <v>1563</v>
      </c>
      <c r="J591" t="s">
        <v>21</v>
      </c>
      <c r="K591">
        <v>6</v>
      </c>
      <c r="M591">
        <v>1764</v>
      </c>
    </row>
    <row r="592" spans="1:13">
      <c r="A592">
        <v>586</v>
      </c>
      <c r="B592">
        <v>81296</v>
      </c>
      <c r="C592" t="s">
        <v>1510</v>
      </c>
      <c r="D592" t="s">
        <v>495</v>
      </c>
      <c r="E592" t="s">
        <v>1511</v>
      </c>
      <c r="F592" t="str">
        <f>"00258540"</f>
        <v>00258540</v>
      </c>
      <c r="G592" t="s">
        <v>47</v>
      </c>
      <c r="H592" t="s">
        <v>48</v>
      </c>
      <c r="I592">
        <v>1623</v>
      </c>
      <c r="J592" t="s">
        <v>21</v>
      </c>
      <c r="K592">
        <v>0</v>
      </c>
      <c r="M592">
        <v>1354</v>
      </c>
    </row>
    <row r="593" spans="1:13">
      <c r="A593">
        <v>587</v>
      </c>
      <c r="B593">
        <v>56673</v>
      </c>
      <c r="C593" t="s">
        <v>1512</v>
      </c>
      <c r="D593" t="s">
        <v>76</v>
      </c>
      <c r="E593" t="s">
        <v>1513</v>
      </c>
      <c r="F593" t="str">
        <f>"00376070"</f>
        <v>00376070</v>
      </c>
      <c r="G593" t="s">
        <v>111</v>
      </c>
      <c r="H593" t="s">
        <v>48</v>
      </c>
      <c r="I593">
        <v>1620</v>
      </c>
      <c r="J593" t="s">
        <v>21</v>
      </c>
      <c r="K593">
        <v>0</v>
      </c>
      <c r="L593" t="s">
        <v>83</v>
      </c>
      <c r="M593">
        <v>1228</v>
      </c>
    </row>
    <row r="594" spans="1:13">
      <c r="A594">
        <v>588</v>
      </c>
      <c r="B594">
        <v>110845</v>
      </c>
      <c r="C594" t="s">
        <v>1514</v>
      </c>
      <c r="D594" t="s">
        <v>655</v>
      </c>
      <c r="E594" t="s">
        <v>1515</v>
      </c>
      <c r="F594" t="str">
        <f>"00422415"</f>
        <v>00422415</v>
      </c>
      <c r="G594" t="s">
        <v>230</v>
      </c>
      <c r="H594" t="s">
        <v>20</v>
      </c>
      <c r="I594">
        <v>1545</v>
      </c>
      <c r="J594" t="s">
        <v>21</v>
      </c>
      <c r="K594">
        <v>0</v>
      </c>
      <c r="L594" t="s">
        <v>35</v>
      </c>
      <c r="M594">
        <v>958</v>
      </c>
    </row>
    <row r="595" spans="1:13">
      <c r="A595">
        <v>589</v>
      </c>
      <c r="B595">
        <v>70199</v>
      </c>
      <c r="C595" t="s">
        <v>1516</v>
      </c>
      <c r="D595" t="s">
        <v>180</v>
      </c>
      <c r="E595" t="s">
        <v>1517</v>
      </c>
      <c r="F595" t="str">
        <f>"00187968"</f>
        <v>00187968</v>
      </c>
      <c r="G595" t="s">
        <v>82</v>
      </c>
      <c r="H595" t="s">
        <v>20</v>
      </c>
      <c r="I595">
        <v>1475</v>
      </c>
      <c r="J595" t="s">
        <v>21</v>
      </c>
      <c r="K595">
        <v>0</v>
      </c>
      <c r="M595">
        <v>1688</v>
      </c>
    </row>
    <row r="596" spans="1:13">
      <c r="A596">
        <v>590</v>
      </c>
      <c r="B596">
        <v>97464</v>
      </c>
      <c r="C596" t="s">
        <v>1518</v>
      </c>
      <c r="D596" t="s">
        <v>80</v>
      </c>
      <c r="E596" t="s">
        <v>1519</v>
      </c>
      <c r="F596" t="str">
        <f>"00017320"</f>
        <v>00017320</v>
      </c>
      <c r="G596" t="s">
        <v>352</v>
      </c>
      <c r="H596" t="s">
        <v>20</v>
      </c>
      <c r="I596">
        <v>1471</v>
      </c>
      <c r="J596" t="s">
        <v>21</v>
      </c>
      <c r="K596">
        <v>0</v>
      </c>
      <c r="M596">
        <v>1588</v>
      </c>
    </row>
    <row r="597" spans="1:13">
      <c r="A597">
        <v>591</v>
      </c>
      <c r="B597">
        <v>115866</v>
      </c>
      <c r="C597" t="s">
        <v>1520</v>
      </c>
      <c r="D597" t="s">
        <v>76</v>
      </c>
      <c r="E597" t="s">
        <v>1521</v>
      </c>
      <c r="F597" t="str">
        <f>"00368361"</f>
        <v>00368361</v>
      </c>
      <c r="G597" t="s">
        <v>639</v>
      </c>
      <c r="H597" t="s">
        <v>48</v>
      </c>
      <c r="I597">
        <v>1629</v>
      </c>
      <c r="J597" t="s">
        <v>21</v>
      </c>
      <c r="K597">
        <v>0</v>
      </c>
      <c r="M597">
        <v>1328</v>
      </c>
    </row>
    <row r="598" spans="1:13">
      <c r="A598">
        <v>592</v>
      </c>
      <c r="B598">
        <v>56040</v>
      </c>
      <c r="C598" t="s">
        <v>1522</v>
      </c>
      <c r="D598" t="s">
        <v>90</v>
      </c>
      <c r="E598" t="s">
        <v>1523</v>
      </c>
      <c r="F598" t="str">
        <f>"00350170"</f>
        <v>00350170</v>
      </c>
      <c r="G598" t="s">
        <v>63</v>
      </c>
      <c r="H598" t="s">
        <v>1524</v>
      </c>
      <c r="I598">
        <v>1372</v>
      </c>
      <c r="J598" t="s">
        <v>21</v>
      </c>
      <c r="K598">
        <v>0</v>
      </c>
      <c r="M598">
        <v>1388</v>
      </c>
    </row>
    <row r="599" spans="1:13">
      <c r="A599">
        <v>593</v>
      </c>
      <c r="B599">
        <v>71584</v>
      </c>
      <c r="C599" t="s">
        <v>1525</v>
      </c>
      <c r="D599" t="s">
        <v>180</v>
      </c>
      <c r="E599" t="s">
        <v>1526</v>
      </c>
      <c r="F599" t="str">
        <f>"00256935"</f>
        <v>00256935</v>
      </c>
      <c r="G599" t="s">
        <v>1245</v>
      </c>
      <c r="H599" t="s">
        <v>1527</v>
      </c>
      <c r="I599">
        <v>1678</v>
      </c>
      <c r="J599" t="s">
        <v>21</v>
      </c>
      <c r="K599">
        <v>0</v>
      </c>
      <c r="M599">
        <v>2128</v>
      </c>
    </row>
    <row r="600" spans="1:13">
      <c r="A600">
        <v>594</v>
      </c>
      <c r="B600">
        <v>101251</v>
      </c>
      <c r="C600" t="s">
        <v>1528</v>
      </c>
      <c r="D600" t="s">
        <v>65</v>
      </c>
      <c r="E600" t="s">
        <v>1529</v>
      </c>
      <c r="F600" t="str">
        <f>"00405344"</f>
        <v>00405344</v>
      </c>
      <c r="G600" t="s">
        <v>273</v>
      </c>
      <c r="H600" t="s">
        <v>274</v>
      </c>
      <c r="I600">
        <v>1395</v>
      </c>
      <c r="J600" t="s">
        <v>21</v>
      </c>
      <c r="K600">
        <v>0</v>
      </c>
      <c r="L600" t="s">
        <v>35</v>
      </c>
      <c r="M600">
        <v>1008</v>
      </c>
    </row>
    <row r="601" spans="1:13">
      <c r="A601">
        <v>595</v>
      </c>
      <c r="B601">
        <v>104138</v>
      </c>
      <c r="C601" t="s">
        <v>1530</v>
      </c>
      <c r="D601" t="s">
        <v>105</v>
      </c>
      <c r="E601" t="s">
        <v>1531</v>
      </c>
      <c r="F601" t="str">
        <f>"00397748"</f>
        <v>00397748</v>
      </c>
      <c r="G601" t="s">
        <v>704</v>
      </c>
      <c r="H601" t="s">
        <v>20</v>
      </c>
      <c r="I601">
        <v>1447</v>
      </c>
      <c r="J601" t="s">
        <v>21</v>
      </c>
      <c r="K601">
        <v>6</v>
      </c>
      <c r="M601">
        <v>1728</v>
      </c>
    </row>
    <row r="602" spans="1:13">
      <c r="A602">
        <v>596</v>
      </c>
      <c r="B602">
        <v>90455</v>
      </c>
      <c r="C602" t="s">
        <v>1532</v>
      </c>
      <c r="D602" t="s">
        <v>94</v>
      </c>
      <c r="E602" t="s">
        <v>1533</v>
      </c>
      <c r="F602" t="str">
        <f>"00403920"</f>
        <v>00403920</v>
      </c>
      <c r="G602" t="s">
        <v>107</v>
      </c>
      <c r="H602" t="s">
        <v>20</v>
      </c>
      <c r="I602">
        <v>1472</v>
      </c>
      <c r="J602" t="s">
        <v>21</v>
      </c>
      <c r="K602">
        <v>0</v>
      </c>
      <c r="M602">
        <v>1449</v>
      </c>
    </row>
    <row r="603" spans="1:13">
      <c r="A603">
        <v>597</v>
      </c>
      <c r="B603">
        <v>109775</v>
      </c>
      <c r="C603" t="s">
        <v>1534</v>
      </c>
      <c r="D603" t="s">
        <v>153</v>
      </c>
      <c r="E603" t="s">
        <v>1535</v>
      </c>
      <c r="F603" t="str">
        <f>"00293847"</f>
        <v>00293847</v>
      </c>
      <c r="G603" t="s">
        <v>365</v>
      </c>
      <c r="H603" t="s">
        <v>366</v>
      </c>
      <c r="I603">
        <v>1692</v>
      </c>
      <c r="J603" t="s">
        <v>21</v>
      </c>
      <c r="K603">
        <v>0</v>
      </c>
      <c r="L603" t="s">
        <v>112</v>
      </c>
      <c r="M603">
        <v>853</v>
      </c>
    </row>
    <row r="604" spans="1:13">
      <c r="A604">
        <v>598</v>
      </c>
      <c r="B604">
        <v>105787</v>
      </c>
      <c r="C604" t="s">
        <v>1536</v>
      </c>
      <c r="D604" t="s">
        <v>105</v>
      </c>
      <c r="E604" t="s">
        <v>1537</v>
      </c>
      <c r="F604" t="str">
        <f>"00224244"</f>
        <v>00224244</v>
      </c>
      <c r="G604" t="s">
        <v>107</v>
      </c>
      <c r="H604" t="s">
        <v>20</v>
      </c>
      <c r="I604">
        <v>1472</v>
      </c>
      <c r="J604" t="s">
        <v>21</v>
      </c>
      <c r="K604">
        <v>0</v>
      </c>
      <c r="L604" t="s">
        <v>35</v>
      </c>
      <c r="M604">
        <v>972</v>
      </c>
    </row>
    <row r="605" spans="1:13">
      <c r="A605">
        <v>599</v>
      </c>
      <c r="B605">
        <v>67877</v>
      </c>
      <c r="C605" t="s">
        <v>1538</v>
      </c>
      <c r="D605" t="s">
        <v>198</v>
      </c>
      <c r="E605" t="s">
        <v>1539</v>
      </c>
      <c r="F605" t="str">
        <f>"00396073"</f>
        <v>00396073</v>
      </c>
      <c r="G605" t="s">
        <v>107</v>
      </c>
      <c r="H605" t="s">
        <v>20</v>
      </c>
      <c r="I605">
        <v>1472</v>
      </c>
      <c r="J605" t="s">
        <v>21</v>
      </c>
      <c r="K605">
        <v>0</v>
      </c>
      <c r="M605">
        <v>1488</v>
      </c>
    </row>
    <row r="606" spans="1:13">
      <c r="A606">
        <v>600</v>
      </c>
      <c r="B606">
        <v>114323</v>
      </c>
      <c r="C606" t="s">
        <v>1540</v>
      </c>
      <c r="D606" t="s">
        <v>198</v>
      </c>
      <c r="E606" t="s">
        <v>1541</v>
      </c>
      <c r="F606" t="str">
        <f>"00423559"</f>
        <v>00423559</v>
      </c>
      <c r="G606" t="s">
        <v>63</v>
      </c>
      <c r="H606" t="s">
        <v>20</v>
      </c>
      <c r="I606">
        <v>1576</v>
      </c>
      <c r="J606" t="s">
        <v>21</v>
      </c>
      <c r="K606">
        <v>0</v>
      </c>
      <c r="L606" t="s">
        <v>35</v>
      </c>
      <c r="M606">
        <v>1074</v>
      </c>
    </row>
    <row r="607" spans="1:13">
      <c r="A607">
        <v>601</v>
      </c>
      <c r="B607">
        <v>73334</v>
      </c>
      <c r="C607" t="s">
        <v>1542</v>
      </c>
      <c r="D607" t="s">
        <v>243</v>
      </c>
      <c r="E607" t="s">
        <v>1543</v>
      </c>
      <c r="F607" t="str">
        <f>"00239602"</f>
        <v>00239602</v>
      </c>
      <c r="G607" t="s">
        <v>1498</v>
      </c>
      <c r="H607" t="s">
        <v>1499</v>
      </c>
      <c r="I607">
        <v>1598</v>
      </c>
      <c r="J607" t="s">
        <v>21</v>
      </c>
      <c r="K607">
        <v>6</v>
      </c>
      <c r="M607">
        <v>1388</v>
      </c>
    </row>
    <row r="608" spans="1:13">
      <c r="A608">
        <v>602</v>
      </c>
      <c r="B608">
        <v>81368</v>
      </c>
      <c r="C608" t="s">
        <v>1544</v>
      </c>
      <c r="D608" t="s">
        <v>243</v>
      </c>
      <c r="E608" t="s">
        <v>1545</v>
      </c>
      <c r="F608" t="str">
        <f>"00371413"</f>
        <v>00371413</v>
      </c>
      <c r="G608" t="s">
        <v>107</v>
      </c>
      <c r="H608" t="s">
        <v>20</v>
      </c>
      <c r="I608">
        <v>1472</v>
      </c>
      <c r="J608" t="s">
        <v>21</v>
      </c>
      <c r="K608">
        <v>0</v>
      </c>
      <c r="L608" t="s">
        <v>35</v>
      </c>
      <c r="M608">
        <v>908</v>
      </c>
    </row>
    <row r="609" spans="1:13">
      <c r="A609">
        <v>603</v>
      </c>
      <c r="B609">
        <v>90752</v>
      </c>
      <c r="C609" t="s">
        <v>1546</v>
      </c>
      <c r="D609" t="s">
        <v>243</v>
      </c>
      <c r="E609" t="s">
        <v>1547</v>
      </c>
      <c r="F609" t="str">
        <f>"00398228"</f>
        <v>00398228</v>
      </c>
      <c r="G609" t="s">
        <v>111</v>
      </c>
      <c r="H609" t="s">
        <v>48</v>
      </c>
      <c r="I609">
        <v>1620</v>
      </c>
      <c r="J609" t="s">
        <v>21</v>
      </c>
      <c r="K609">
        <v>0</v>
      </c>
      <c r="L609" t="s">
        <v>35</v>
      </c>
      <c r="M609">
        <v>908</v>
      </c>
    </row>
    <row r="610" spans="1:13">
      <c r="A610">
        <v>604</v>
      </c>
      <c r="B610">
        <v>91701</v>
      </c>
      <c r="C610" t="s">
        <v>1548</v>
      </c>
      <c r="D610" t="s">
        <v>90</v>
      </c>
      <c r="E610" t="s">
        <v>1549</v>
      </c>
      <c r="F610" t="str">
        <f>"00387800"</f>
        <v>00387800</v>
      </c>
      <c r="G610" t="s">
        <v>349</v>
      </c>
      <c r="H610" t="s">
        <v>20</v>
      </c>
      <c r="I610">
        <v>1419</v>
      </c>
      <c r="J610" t="s">
        <v>21</v>
      </c>
      <c r="K610">
        <v>0</v>
      </c>
      <c r="L610" t="s">
        <v>35</v>
      </c>
      <c r="M610">
        <v>1175</v>
      </c>
    </row>
    <row r="611" spans="1:13">
      <c r="A611">
        <v>605</v>
      </c>
      <c r="B611">
        <v>64275</v>
      </c>
      <c r="C611" t="s">
        <v>1550</v>
      </c>
      <c r="D611" t="s">
        <v>163</v>
      </c>
      <c r="E611" t="s">
        <v>1551</v>
      </c>
      <c r="F611" t="str">
        <f>"00351706"</f>
        <v>00351706</v>
      </c>
      <c r="G611" t="s">
        <v>278</v>
      </c>
      <c r="H611" t="s">
        <v>137</v>
      </c>
      <c r="I611">
        <v>1605</v>
      </c>
      <c r="J611" t="s">
        <v>21</v>
      </c>
      <c r="K611">
        <v>0</v>
      </c>
      <c r="L611" t="s">
        <v>35</v>
      </c>
      <c r="M611">
        <v>1100</v>
      </c>
    </row>
    <row r="612" spans="1:13">
      <c r="A612">
        <v>606</v>
      </c>
      <c r="B612">
        <v>96011</v>
      </c>
      <c r="C612" t="s">
        <v>1552</v>
      </c>
      <c r="D612" t="s">
        <v>121</v>
      </c>
      <c r="E612" t="s">
        <v>1553</v>
      </c>
      <c r="F612" t="str">
        <f>"00401873"</f>
        <v>00401873</v>
      </c>
      <c r="G612" t="s">
        <v>107</v>
      </c>
      <c r="H612" t="s">
        <v>20</v>
      </c>
      <c r="I612">
        <v>1472</v>
      </c>
      <c r="J612" t="s">
        <v>21</v>
      </c>
      <c r="K612">
        <v>0</v>
      </c>
      <c r="L612" t="s">
        <v>35</v>
      </c>
      <c r="M612">
        <v>908</v>
      </c>
    </row>
    <row r="613" spans="1:13">
      <c r="A613">
        <v>607</v>
      </c>
      <c r="B613">
        <v>48085</v>
      </c>
      <c r="C613" t="s">
        <v>1554</v>
      </c>
      <c r="D613" t="s">
        <v>213</v>
      </c>
      <c r="E613" t="s">
        <v>1555</v>
      </c>
      <c r="F613" t="str">
        <f>"00372347"</f>
        <v>00372347</v>
      </c>
      <c r="G613" t="s">
        <v>1556</v>
      </c>
      <c r="H613" t="s">
        <v>20</v>
      </c>
      <c r="I613">
        <v>1530</v>
      </c>
      <c r="J613" t="s">
        <v>21</v>
      </c>
      <c r="K613">
        <v>0</v>
      </c>
      <c r="L613" t="s">
        <v>35</v>
      </c>
      <c r="M613">
        <v>1008</v>
      </c>
    </row>
    <row r="614" spans="1:13">
      <c r="A614">
        <v>608</v>
      </c>
      <c r="B614">
        <v>79589</v>
      </c>
      <c r="C614" t="s">
        <v>1557</v>
      </c>
      <c r="D614" t="s">
        <v>213</v>
      </c>
      <c r="E614" t="s">
        <v>1558</v>
      </c>
      <c r="F614" t="str">
        <f>"00397533"</f>
        <v>00397533</v>
      </c>
      <c r="G614" t="s">
        <v>147</v>
      </c>
      <c r="H614" t="s">
        <v>20</v>
      </c>
      <c r="I614">
        <v>1529</v>
      </c>
      <c r="J614" t="s">
        <v>21</v>
      </c>
      <c r="K614">
        <v>0</v>
      </c>
      <c r="M614">
        <v>1521</v>
      </c>
    </row>
    <row r="615" spans="1:13">
      <c r="A615">
        <v>609</v>
      </c>
      <c r="B615">
        <v>93264</v>
      </c>
      <c r="C615" t="s">
        <v>1559</v>
      </c>
      <c r="D615" t="s">
        <v>163</v>
      </c>
      <c r="E615" t="s">
        <v>1560</v>
      </c>
      <c r="F615" t="str">
        <f>"00384962"</f>
        <v>00384962</v>
      </c>
      <c r="G615" t="s">
        <v>1561</v>
      </c>
      <c r="H615" t="s">
        <v>1562</v>
      </c>
      <c r="I615">
        <v>1616</v>
      </c>
      <c r="J615" t="s">
        <v>21</v>
      </c>
      <c r="K615">
        <v>0</v>
      </c>
      <c r="L615" t="s">
        <v>35</v>
      </c>
      <c r="M615">
        <v>986</v>
      </c>
    </row>
    <row r="616" spans="1:13">
      <c r="A616">
        <v>610</v>
      </c>
      <c r="B616">
        <v>74089</v>
      </c>
      <c r="C616" t="s">
        <v>1563</v>
      </c>
      <c r="D616" t="s">
        <v>180</v>
      </c>
      <c r="E616" t="s">
        <v>1564</v>
      </c>
      <c r="F616" t="str">
        <f>"00384486"</f>
        <v>00384486</v>
      </c>
      <c r="G616" t="s">
        <v>341</v>
      </c>
      <c r="H616" t="s">
        <v>20</v>
      </c>
      <c r="I616">
        <v>1553</v>
      </c>
      <c r="J616" t="s">
        <v>21</v>
      </c>
      <c r="K616">
        <v>6</v>
      </c>
      <c r="L616" t="s">
        <v>59</v>
      </c>
      <c r="M616">
        <v>1032</v>
      </c>
    </row>
    <row r="617" spans="1:13">
      <c r="A617">
        <v>611</v>
      </c>
      <c r="B617">
        <v>97241</v>
      </c>
      <c r="C617" t="s">
        <v>1565</v>
      </c>
      <c r="D617" t="s">
        <v>105</v>
      </c>
      <c r="E617" t="s">
        <v>1566</v>
      </c>
      <c r="F617" t="str">
        <f>"00348080"</f>
        <v>00348080</v>
      </c>
      <c r="G617" t="s">
        <v>696</v>
      </c>
      <c r="H617" t="s">
        <v>20</v>
      </c>
      <c r="I617">
        <v>1520</v>
      </c>
      <c r="J617" t="s">
        <v>21</v>
      </c>
      <c r="K617">
        <v>0</v>
      </c>
      <c r="L617" t="s">
        <v>35</v>
      </c>
      <c r="M617">
        <v>1008</v>
      </c>
    </row>
    <row r="618" spans="1:13">
      <c r="A618">
        <v>612</v>
      </c>
      <c r="B618">
        <v>110713</v>
      </c>
      <c r="C618" t="s">
        <v>1567</v>
      </c>
      <c r="D618" t="s">
        <v>516</v>
      </c>
      <c r="E618" t="s">
        <v>1568</v>
      </c>
      <c r="F618" t="str">
        <f>"00423355"</f>
        <v>00423355</v>
      </c>
      <c r="G618" t="s">
        <v>107</v>
      </c>
      <c r="H618" t="s">
        <v>20</v>
      </c>
      <c r="I618">
        <v>1472</v>
      </c>
      <c r="J618" t="s">
        <v>21</v>
      </c>
      <c r="K618">
        <v>0</v>
      </c>
      <c r="M618">
        <v>1374</v>
      </c>
    </row>
    <row r="619" spans="1:13">
      <c r="A619">
        <v>613</v>
      </c>
      <c r="B619">
        <v>73984</v>
      </c>
      <c r="C619" t="s">
        <v>1569</v>
      </c>
      <c r="D619" t="s">
        <v>80</v>
      </c>
      <c r="E619" t="s">
        <v>1570</v>
      </c>
      <c r="F619" t="str">
        <f>"00411296"</f>
        <v>00411296</v>
      </c>
      <c r="G619" t="s">
        <v>87</v>
      </c>
      <c r="H619" t="s">
        <v>20</v>
      </c>
      <c r="I619">
        <v>1436</v>
      </c>
      <c r="J619" t="s">
        <v>21</v>
      </c>
      <c r="K619">
        <v>0</v>
      </c>
      <c r="L619" t="s">
        <v>35</v>
      </c>
      <c r="M619">
        <v>908</v>
      </c>
    </row>
    <row r="620" spans="1:13">
      <c r="A620">
        <v>614</v>
      </c>
      <c r="B620">
        <v>115039</v>
      </c>
      <c r="C620" t="s">
        <v>1571</v>
      </c>
      <c r="D620" t="s">
        <v>80</v>
      </c>
      <c r="E620" t="s">
        <v>1572</v>
      </c>
      <c r="F620" t="str">
        <f>"00420025"</f>
        <v>00420025</v>
      </c>
      <c r="G620" t="s">
        <v>798</v>
      </c>
      <c r="H620" t="s">
        <v>326</v>
      </c>
      <c r="I620">
        <v>1593</v>
      </c>
      <c r="J620" t="s">
        <v>21</v>
      </c>
      <c r="K620">
        <v>0</v>
      </c>
      <c r="M620">
        <v>1950</v>
      </c>
    </row>
    <row r="621" spans="1:13">
      <c r="A621">
        <v>615</v>
      </c>
      <c r="B621">
        <v>114696</v>
      </c>
      <c r="C621" t="s">
        <v>1573</v>
      </c>
      <c r="D621" t="s">
        <v>94</v>
      </c>
      <c r="E621" t="s">
        <v>1574</v>
      </c>
      <c r="F621" t="str">
        <f>"00044757"</f>
        <v>00044757</v>
      </c>
      <c r="G621" t="s">
        <v>67</v>
      </c>
      <c r="H621" t="s">
        <v>20</v>
      </c>
      <c r="I621">
        <v>1434</v>
      </c>
      <c r="J621" t="s">
        <v>21</v>
      </c>
      <c r="K621">
        <v>0</v>
      </c>
      <c r="L621" t="s">
        <v>83</v>
      </c>
      <c r="M621">
        <v>1188</v>
      </c>
    </row>
    <row r="622" spans="1:13">
      <c r="A622">
        <v>616</v>
      </c>
      <c r="B622">
        <v>95458</v>
      </c>
      <c r="C622" t="s">
        <v>1575</v>
      </c>
      <c r="D622" t="s">
        <v>180</v>
      </c>
      <c r="E622" t="s">
        <v>1576</v>
      </c>
      <c r="F622" t="str">
        <f>"201511041742"</f>
        <v>201511041742</v>
      </c>
      <c r="G622" t="s">
        <v>38</v>
      </c>
      <c r="H622" t="s">
        <v>39</v>
      </c>
      <c r="I622">
        <v>1634</v>
      </c>
      <c r="J622" t="s">
        <v>21</v>
      </c>
      <c r="K622">
        <v>6</v>
      </c>
      <c r="M622">
        <v>1158</v>
      </c>
    </row>
    <row r="623" spans="1:13">
      <c r="A623">
        <v>617</v>
      </c>
      <c r="B623">
        <v>76486</v>
      </c>
      <c r="C623" t="s">
        <v>1577</v>
      </c>
      <c r="D623" t="s">
        <v>76</v>
      </c>
      <c r="E623" t="s">
        <v>1578</v>
      </c>
      <c r="F623" t="str">
        <f>"00348147"</f>
        <v>00348147</v>
      </c>
      <c r="G623" t="s">
        <v>371</v>
      </c>
      <c r="H623" t="s">
        <v>20</v>
      </c>
      <c r="I623">
        <v>1526</v>
      </c>
      <c r="J623" t="s">
        <v>21</v>
      </c>
      <c r="K623">
        <v>6</v>
      </c>
      <c r="L623" t="s">
        <v>35</v>
      </c>
      <c r="M623">
        <v>600</v>
      </c>
    </row>
    <row r="624" spans="1:13">
      <c r="A624">
        <v>618</v>
      </c>
      <c r="B624">
        <v>78070</v>
      </c>
      <c r="C624" t="s">
        <v>1579</v>
      </c>
      <c r="D624" t="s">
        <v>90</v>
      </c>
      <c r="E624" t="s">
        <v>1580</v>
      </c>
      <c r="F624" t="str">
        <f>"00376468"</f>
        <v>00376468</v>
      </c>
      <c r="G624" t="s">
        <v>718</v>
      </c>
      <c r="H624" t="s">
        <v>48</v>
      </c>
      <c r="I624">
        <v>1625</v>
      </c>
      <c r="J624" t="s">
        <v>21</v>
      </c>
      <c r="K624">
        <v>0</v>
      </c>
      <c r="M624">
        <v>1728</v>
      </c>
    </row>
    <row r="625" spans="1:13">
      <c r="A625">
        <v>619</v>
      </c>
      <c r="B625">
        <v>66751</v>
      </c>
      <c r="C625" t="s">
        <v>1581</v>
      </c>
      <c r="D625" t="s">
        <v>249</v>
      </c>
      <c r="E625" t="s">
        <v>1582</v>
      </c>
      <c r="F625" t="str">
        <f>"00349766"</f>
        <v>00349766</v>
      </c>
      <c r="G625" t="s">
        <v>307</v>
      </c>
      <c r="H625" t="s">
        <v>326</v>
      </c>
      <c r="I625">
        <v>1594</v>
      </c>
      <c r="J625" t="s">
        <v>21</v>
      </c>
      <c r="K625">
        <v>0</v>
      </c>
      <c r="L625" t="s">
        <v>59</v>
      </c>
      <c r="M625">
        <v>788</v>
      </c>
    </row>
    <row r="626" spans="1:13">
      <c r="A626">
        <v>620</v>
      </c>
      <c r="B626">
        <v>52750</v>
      </c>
      <c r="C626" t="s">
        <v>1583</v>
      </c>
      <c r="D626" t="s">
        <v>914</v>
      </c>
      <c r="E626" t="s">
        <v>1584</v>
      </c>
      <c r="F626" t="str">
        <f>"00355564"</f>
        <v>00355564</v>
      </c>
      <c r="G626" t="s">
        <v>38</v>
      </c>
      <c r="H626" t="s">
        <v>39</v>
      </c>
      <c r="I626">
        <v>1634</v>
      </c>
      <c r="J626" t="s">
        <v>21</v>
      </c>
      <c r="K626">
        <v>6</v>
      </c>
      <c r="M626">
        <v>1203</v>
      </c>
    </row>
    <row r="627" spans="1:13">
      <c r="A627">
        <v>621</v>
      </c>
      <c r="B627">
        <v>96642</v>
      </c>
      <c r="C627" t="s">
        <v>1585</v>
      </c>
      <c r="D627" t="s">
        <v>90</v>
      </c>
      <c r="E627" t="s">
        <v>1586</v>
      </c>
      <c r="F627" t="str">
        <f>"00388130"</f>
        <v>00388130</v>
      </c>
      <c r="G627" t="s">
        <v>527</v>
      </c>
      <c r="H627" t="s">
        <v>20</v>
      </c>
      <c r="I627">
        <v>1568</v>
      </c>
      <c r="J627" t="s">
        <v>21</v>
      </c>
      <c r="K627">
        <v>0</v>
      </c>
      <c r="L627" t="s">
        <v>35</v>
      </c>
      <c r="M627">
        <v>1000</v>
      </c>
    </row>
    <row r="628" spans="1:13">
      <c r="A628">
        <v>622</v>
      </c>
      <c r="B628">
        <v>53459</v>
      </c>
      <c r="C628" t="s">
        <v>1587</v>
      </c>
      <c r="D628" t="s">
        <v>243</v>
      </c>
      <c r="E628" t="s">
        <v>1588</v>
      </c>
      <c r="F628" t="str">
        <f>"00352278"</f>
        <v>00352278</v>
      </c>
      <c r="G628" t="s">
        <v>47</v>
      </c>
      <c r="H628" t="s">
        <v>48</v>
      </c>
      <c r="I628">
        <v>1623</v>
      </c>
      <c r="J628" t="s">
        <v>21</v>
      </c>
      <c r="K628">
        <v>0</v>
      </c>
      <c r="L628" t="s">
        <v>35</v>
      </c>
      <c r="M628">
        <v>898</v>
      </c>
    </row>
    <row r="629" spans="1:13">
      <c r="A629">
        <v>623</v>
      </c>
      <c r="B629">
        <v>49369</v>
      </c>
      <c r="C629" t="s">
        <v>1589</v>
      </c>
      <c r="D629" t="s">
        <v>180</v>
      </c>
      <c r="E629" t="s">
        <v>1590</v>
      </c>
      <c r="F629" t="str">
        <f>"00247247"</f>
        <v>00247247</v>
      </c>
      <c r="G629" t="s">
        <v>107</v>
      </c>
      <c r="H629" t="s">
        <v>20</v>
      </c>
      <c r="I629">
        <v>1472</v>
      </c>
      <c r="J629" t="s">
        <v>21</v>
      </c>
      <c r="K629">
        <v>0</v>
      </c>
      <c r="M629">
        <v>1428</v>
      </c>
    </row>
    <row r="630" spans="1:13">
      <c r="A630">
        <v>624</v>
      </c>
      <c r="B630">
        <v>65029</v>
      </c>
      <c r="C630" t="s">
        <v>1591</v>
      </c>
      <c r="D630" t="s">
        <v>109</v>
      </c>
      <c r="E630" t="s">
        <v>1592</v>
      </c>
      <c r="F630" t="str">
        <f>"00360924"</f>
        <v>00360924</v>
      </c>
      <c r="G630" t="s">
        <v>111</v>
      </c>
      <c r="H630" t="s">
        <v>48</v>
      </c>
      <c r="I630">
        <v>1620</v>
      </c>
      <c r="J630" t="s">
        <v>21</v>
      </c>
      <c r="K630">
        <v>0</v>
      </c>
      <c r="L630" t="s">
        <v>35</v>
      </c>
      <c r="M630">
        <v>900</v>
      </c>
    </row>
    <row r="631" spans="1:13">
      <c r="A631">
        <v>625</v>
      </c>
      <c r="B631">
        <v>89121</v>
      </c>
      <c r="C631" t="s">
        <v>1593</v>
      </c>
      <c r="D631" t="s">
        <v>76</v>
      </c>
      <c r="E631" t="s">
        <v>1594</v>
      </c>
      <c r="F631" t="str">
        <f>"00377234"</f>
        <v>00377234</v>
      </c>
      <c r="G631" t="s">
        <v>1595</v>
      </c>
      <c r="H631" t="s">
        <v>20</v>
      </c>
      <c r="I631">
        <v>1538</v>
      </c>
      <c r="J631" t="s">
        <v>21</v>
      </c>
      <c r="K631">
        <v>6</v>
      </c>
      <c r="L631" t="s">
        <v>35</v>
      </c>
      <c r="M631">
        <v>673</v>
      </c>
    </row>
    <row r="632" spans="1:13">
      <c r="A632">
        <v>626</v>
      </c>
      <c r="B632">
        <v>65758</v>
      </c>
      <c r="C632" t="s">
        <v>1596</v>
      </c>
      <c r="D632" t="s">
        <v>243</v>
      </c>
      <c r="E632" t="s">
        <v>1597</v>
      </c>
      <c r="F632" t="str">
        <f>"00252550"</f>
        <v>00252550</v>
      </c>
      <c r="G632" t="s">
        <v>1595</v>
      </c>
      <c r="H632" t="s">
        <v>20</v>
      </c>
      <c r="I632">
        <v>1538</v>
      </c>
      <c r="J632" t="s">
        <v>21</v>
      </c>
      <c r="K632">
        <v>6</v>
      </c>
      <c r="M632">
        <v>1328</v>
      </c>
    </row>
    <row r="633" spans="1:13">
      <c r="A633">
        <v>627</v>
      </c>
      <c r="B633">
        <v>88690</v>
      </c>
      <c r="C633" t="s">
        <v>1598</v>
      </c>
      <c r="D633" t="s">
        <v>180</v>
      </c>
      <c r="E633" t="s">
        <v>1599</v>
      </c>
      <c r="F633" t="str">
        <f>"00145555"</f>
        <v>00145555</v>
      </c>
      <c r="G633" t="s">
        <v>47</v>
      </c>
      <c r="H633" t="s">
        <v>48</v>
      </c>
      <c r="I633">
        <v>1623</v>
      </c>
      <c r="J633" t="s">
        <v>21</v>
      </c>
      <c r="K633">
        <v>0</v>
      </c>
      <c r="M633">
        <v>1388</v>
      </c>
    </row>
    <row r="634" spans="1:13">
      <c r="A634">
        <v>628</v>
      </c>
      <c r="B634">
        <v>52120</v>
      </c>
      <c r="C634" t="s">
        <v>1600</v>
      </c>
      <c r="D634" t="s">
        <v>566</v>
      </c>
      <c r="E634" t="s">
        <v>1601</v>
      </c>
      <c r="F634" t="str">
        <f>"00286374"</f>
        <v>00286374</v>
      </c>
      <c r="G634" t="s">
        <v>1602</v>
      </c>
      <c r="H634" t="s">
        <v>274</v>
      </c>
      <c r="I634">
        <v>1380</v>
      </c>
      <c r="J634" t="s">
        <v>21</v>
      </c>
      <c r="K634">
        <v>7</v>
      </c>
      <c r="M634">
        <v>1128</v>
      </c>
    </row>
    <row r="635" spans="1:13">
      <c r="A635">
        <v>629</v>
      </c>
      <c r="B635">
        <v>108681</v>
      </c>
      <c r="C635" t="s">
        <v>1603</v>
      </c>
      <c r="D635" t="s">
        <v>105</v>
      </c>
      <c r="E635" t="s">
        <v>1604</v>
      </c>
      <c r="F635" t="str">
        <f>"00390039"</f>
        <v>00390039</v>
      </c>
      <c r="G635" t="s">
        <v>200</v>
      </c>
      <c r="H635" t="s">
        <v>20</v>
      </c>
      <c r="I635">
        <v>1492</v>
      </c>
      <c r="J635" t="s">
        <v>21</v>
      </c>
      <c r="K635">
        <v>0</v>
      </c>
      <c r="M635">
        <v>1728</v>
      </c>
    </row>
    <row r="636" spans="1:13">
      <c r="A636">
        <v>630</v>
      </c>
      <c r="B636">
        <v>81950</v>
      </c>
      <c r="C636" t="s">
        <v>1605</v>
      </c>
      <c r="D636" t="s">
        <v>938</v>
      </c>
      <c r="E636" t="s">
        <v>1606</v>
      </c>
      <c r="F636" t="str">
        <f>"00402904"</f>
        <v>00402904</v>
      </c>
      <c r="G636" t="s">
        <v>230</v>
      </c>
      <c r="H636" t="s">
        <v>20</v>
      </c>
      <c r="I636">
        <v>1545</v>
      </c>
      <c r="J636" t="s">
        <v>21</v>
      </c>
      <c r="K636">
        <v>0</v>
      </c>
      <c r="M636">
        <v>1604</v>
      </c>
    </row>
    <row r="637" spans="1:13">
      <c r="A637">
        <v>631</v>
      </c>
      <c r="B637">
        <v>72832</v>
      </c>
      <c r="C637" t="s">
        <v>1607</v>
      </c>
      <c r="D637" t="s">
        <v>80</v>
      </c>
      <c r="E637" t="s">
        <v>1608</v>
      </c>
      <c r="F637" t="str">
        <f>"00388690"</f>
        <v>00388690</v>
      </c>
      <c r="G637" t="s">
        <v>1609</v>
      </c>
      <c r="H637" t="s">
        <v>1610</v>
      </c>
      <c r="I637">
        <v>1308</v>
      </c>
      <c r="J637" t="s">
        <v>21</v>
      </c>
      <c r="K637">
        <v>0</v>
      </c>
      <c r="L637" t="s">
        <v>35</v>
      </c>
      <c r="M637">
        <v>1136</v>
      </c>
    </row>
    <row r="638" spans="1:13">
      <c r="A638">
        <v>632</v>
      </c>
      <c r="B638">
        <v>81726</v>
      </c>
      <c r="C638" t="s">
        <v>1611</v>
      </c>
      <c r="D638" t="s">
        <v>243</v>
      </c>
      <c r="E638" t="s">
        <v>1612</v>
      </c>
      <c r="F638" t="str">
        <f>"00258710"</f>
        <v>00258710</v>
      </c>
      <c r="G638" t="s">
        <v>704</v>
      </c>
      <c r="H638" t="s">
        <v>20</v>
      </c>
      <c r="I638">
        <v>1447</v>
      </c>
      <c r="J638" t="s">
        <v>21</v>
      </c>
      <c r="K638">
        <v>6</v>
      </c>
      <c r="M638">
        <v>1688</v>
      </c>
    </row>
    <row r="639" spans="1:13">
      <c r="A639">
        <v>633</v>
      </c>
      <c r="B639">
        <v>60887</v>
      </c>
      <c r="C639" t="s">
        <v>1613</v>
      </c>
      <c r="D639" t="s">
        <v>163</v>
      </c>
      <c r="E639" t="s">
        <v>1614</v>
      </c>
      <c r="F639" t="str">
        <f>"00233666"</f>
        <v>00233666</v>
      </c>
      <c r="G639" t="s">
        <v>540</v>
      </c>
      <c r="H639" t="s">
        <v>20</v>
      </c>
      <c r="I639">
        <v>1435</v>
      </c>
      <c r="J639" t="s">
        <v>21</v>
      </c>
      <c r="K639">
        <v>0</v>
      </c>
      <c r="L639" t="s">
        <v>35</v>
      </c>
      <c r="M639">
        <v>908</v>
      </c>
    </row>
    <row r="640" spans="1:13">
      <c r="A640">
        <v>634</v>
      </c>
      <c r="B640">
        <v>99214</v>
      </c>
      <c r="C640" t="s">
        <v>1615</v>
      </c>
      <c r="D640" t="s">
        <v>163</v>
      </c>
      <c r="E640" t="s">
        <v>1616</v>
      </c>
      <c r="F640" t="str">
        <f>"00075023"</f>
        <v>00075023</v>
      </c>
      <c r="G640" t="s">
        <v>70</v>
      </c>
      <c r="H640" t="s">
        <v>71</v>
      </c>
      <c r="I640">
        <v>1702</v>
      </c>
      <c r="J640" t="s">
        <v>21</v>
      </c>
      <c r="K640">
        <v>0</v>
      </c>
      <c r="M640">
        <v>1648</v>
      </c>
    </row>
    <row r="641" spans="1:13">
      <c r="A641">
        <v>635</v>
      </c>
      <c r="B641">
        <v>49140</v>
      </c>
      <c r="C641" t="s">
        <v>1617</v>
      </c>
      <c r="D641" t="s">
        <v>1001</v>
      </c>
      <c r="E641" t="s">
        <v>1618</v>
      </c>
      <c r="F641" t="str">
        <f>"00297444"</f>
        <v>00297444</v>
      </c>
      <c r="G641" t="s">
        <v>583</v>
      </c>
      <c r="H641" t="s">
        <v>137</v>
      </c>
      <c r="I641">
        <v>1601</v>
      </c>
      <c r="J641" t="s">
        <v>21</v>
      </c>
      <c r="K641">
        <v>0</v>
      </c>
      <c r="L641" t="s">
        <v>35</v>
      </c>
      <c r="M641">
        <v>1008</v>
      </c>
    </row>
    <row r="642" spans="1:13">
      <c r="A642">
        <v>636</v>
      </c>
      <c r="B642">
        <v>78046</v>
      </c>
      <c r="C642" t="s">
        <v>1619</v>
      </c>
      <c r="D642" t="s">
        <v>145</v>
      </c>
      <c r="E642" t="s">
        <v>1620</v>
      </c>
      <c r="F642" t="str">
        <f>"00270812"</f>
        <v>00270812</v>
      </c>
      <c r="G642" t="s">
        <v>1621</v>
      </c>
      <c r="H642" t="s">
        <v>20</v>
      </c>
      <c r="I642">
        <v>1524</v>
      </c>
      <c r="J642" t="s">
        <v>21</v>
      </c>
      <c r="K642">
        <v>6</v>
      </c>
      <c r="M642">
        <v>1288</v>
      </c>
    </row>
    <row r="643" spans="1:13">
      <c r="A643">
        <v>637</v>
      </c>
      <c r="B643">
        <v>82357</v>
      </c>
      <c r="C643" t="s">
        <v>1622</v>
      </c>
      <c r="D643" t="s">
        <v>94</v>
      </c>
      <c r="E643" t="s">
        <v>1623</v>
      </c>
      <c r="F643" t="str">
        <f>"00390878"</f>
        <v>00390878</v>
      </c>
      <c r="G643" t="s">
        <v>200</v>
      </c>
      <c r="H643" t="s">
        <v>20</v>
      </c>
      <c r="I643">
        <v>1492</v>
      </c>
      <c r="J643" t="s">
        <v>21</v>
      </c>
      <c r="K643">
        <v>0</v>
      </c>
      <c r="M643">
        <v>1648</v>
      </c>
    </row>
    <row r="644" spans="1:13">
      <c r="A644">
        <v>638</v>
      </c>
      <c r="B644">
        <v>107345</v>
      </c>
      <c r="C644" t="s">
        <v>1624</v>
      </c>
      <c r="D644" t="s">
        <v>76</v>
      </c>
      <c r="E644" t="s">
        <v>1625</v>
      </c>
      <c r="F644" t="str">
        <f>"201407000126"</f>
        <v>201407000126</v>
      </c>
      <c r="G644" t="s">
        <v>38</v>
      </c>
      <c r="H644" t="s">
        <v>39</v>
      </c>
      <c r="I644">
        <v>1634</v>
      </c>
      <c r="J644" t="s">
        <v>21</v>
      </c>
      <c r="K644">
        <v>6</v>
      </c>
      <c r="M644">
        <v>1168</v>
      </c>
    </row>
    <row r="645" spans="1:13">
      <c r="A645">
        <v>639</v>
      </c>
      <c r="B645">
        <v>112345</v>
      </c>
      <c r="C645" t="s">
        <v>1626</v>
      </c>
      <c r="D645" t="s">
        <v>76</v>
      </c>
      <c r="E645" t="s">
        <v>1627</v>
      </c>
      <c r="F645" t="str">
        <f>"00420878"</f>
        <v>00420878</v>
      </c>
      <c r="G645" t="s">
        <v>38</v>
      </c>
      <c r="H645" t="s">
        <v>39</v>
      </c>
      <c r="I645">
        <v>1634</v>
      </c>
      <c r="J645" t="s">
        <v>21</v>
      </c>
      <c r="K645">
        <v>6</v>
      </c>
      <c r="M645">
        <v>1138</v>
      </c>
    </row>
    <row r="646" spans="1:13">
      <c r="A646">
        <v>640</v>
      </c>
      <c r="B646">
        <v>101625</v>
      </c>
      <c r="C646" t="s">
        <v>1628</v>
      </c>
      <c r="D646" t="s">
        <v>218</v>
      </c>
      <c r="E646" t="s">
        <v>1629</v>
      </c>
      <c r="F646" t="str">
        <f>"00403175"</f>
        <v>00403175</v>
      </c>
      <c r="G646" t="s">
        <v>1630</v>
      </c>
      <c r="H646" t="s">
        <v>1631</v>
      </c>
      <c r="I646">
        <v>1376</v>
      </c>
      <c r="J646" t="s">
        <v>21</v>
      </c>
      <c r="K646">
        <v>0</v>
      </c>
      <c r="M646">
        <v>1451</v>
      </c>
    </row>
    <row r="647" spans="1:13">
      <c r="A647">
        <v>641</v>
      </c>
      <c r="B647">
        <v>103013</v>
      </c>
      <c r="C647" t="s">
        <v>1632</v>
      </c>
      <c r="D647" t="s">
        <v>65</v>
      </c>
      <c r="E647" t="s">
        <v>1633</v>
      </c>
      <c r="F647" t="str">
        <f>"00369796"</f>
        <v>00369796</v>
      </c>
      <c r="G647" t="s">
        <v>19</v>
      </c>
      <c r="H647" t="s">
        <v>20</v>
      </c>
      <c r="I647">
        <v>1531</v>
      </c>
      <c r="J647" t="s">
        <v>21</v>
      </c>
      <c r="K647">
        <v>0</v>
      </c>
      <c r="L647" t="s">
        <v>88</v>
      </c>
      <c r="M647">
        <v>561</v>
      </c>
    </row>
    <row r="648" spans="1:13">
      <c r="A648">
        <v>642</v>
      </c>
      <c r="B648">
        <v>69301</v>
      </c>
      <c r="C648" t="s">
        <v>1634</v>
      </c>
      <c r="D648" t="s">
        <v>243</v>
      </c>
      <c r="E648" t="s">
        <v>1635</v>
      </c>
      <c r="F648" t="str">
        <f>"00368852"</f>
        <v>00368852</v>
      </c>
      <c r="G648" t="s">
        <v>125</v>
      </c>
      <c r="H648" t="s">
        <v>20</v>
      </c>
      <c r="I648">
        <v>1507</v>
      </c>
      <c r="J648" t="s">
        <v>21</v>
      </c>
      <c r="K648">
        <v>0</v>
      </c>
      <c r="L648" t="s">
        <v>35</v>
      </c>
      <c r="M648">
        <v>1075</v>
      </c>
    </row>
    <row r="649" spans="1:13">
      <c r="A649">
        <v>643</v>
      </c>
      <c r="B649">
        <v>104896</v>
      </c>
      <c r="C649" t="s">
        <v>1636</v>
      </c>
      <c r="D649" t="s">
        <v>76</v>
      </c>
      <c r="E649" t="s">
        <v>1637</v>
      </c>
      <c r="F649" t="str">
        <f>"00086633"</f>
        <v>00086633</v>
      </c>
      <c r="G649" t="s">
        <v>883</v>
      </c>
      <c r="H649" t="s">
        <v>270</v>
      </c>
      <c r="I649">
        <v>1585</v>
      </c>
      <c r="J649" t="s">
        <v>21</v>
      </c>
      <c r="K649">
        <v>0</v>
      </c>
      <c r="M649">
        <v>1428</v>
      </c>
    </row>
    <row r="650" spans="1:13">
      <c r="A650">
        <v>644</v>
      </c>
      <c r="B650">
        <v>85128</v>
      </c>
      <c r="C650" t="s">
        <v>1638</v>
      </c>
      <c r="D650" t="s">
        <v>153</v>
      </c>
      <c r="E650" t="s">
        <v>1639</v>
      </c>
      <c r="F650" t="str">
        <f>"00379447"</f>
        <v>00379447</v>
      </c>
      <c r="G650" t="s">
        <v>42</v>
      </c>
      <c r="H650" t="s">
        <v>43</v>
      </c>
      <c r="I650">
        <v>1712</v>
      </c>
      <c r="J650" t="s">
        <v>21</v>
      </c>
      <c r="K650">
        <v>0</v>
      </c>
      <c r="L650" t="s">
        <v>35</v>
      </c>
      <c r="M650">
        <v>1204</v>
      </c>
    </row>
    <row r="651" spans="1:13">
      <c r="A651">
        <v>645</v>
      </c>
      <c r="B651">
        <v>93115</v>
      </c>
      <c r="C651" t="s">
        <v>1640</v>
      </c>
      <c r="D651" t="s">
        <v>76</v>
      </c>
      <c r="E651" t="s">
        <v>1641</v>
      </c>
      <c r="F651" t="str">
        <f>"00383601"</f>
        <v>00383601</v>
      </c>
      <c r="G651" t="s">
        <v>358</v>
      </c>
      <c r="H651" t="s">
        <v>20</v>
      </c>
      <c r="I651">
        <v>1549</v>
      </c>
      <c r="J651" t="s">
        <v>21</v>
      </c>
      <c r="K651">
        <v>0</v>
      </c>
      <c r="L651" t="s">
        <v>35</v>
      </c>
      <c r="M651">
        <v>936</v>
      </c>
    </row>
    <row r="652" spans="1:13">
      <c r="A652">
        <v>646</v>
      </c>
      <c r="B652">
        <v>58053</v>
      </c>
      <c r="C652" t="s">
        <v>1642</v>
      </c>
      <c r="D652" t="s">
        <v>218</v>
      </c>
      <c r="E652" t="s">
        <v>1643</v>
      </c>
      <c r="F652" t="str">
        <f>"00095842"</f>
        <v>00095842</v>
      </c>
      <c r="G652" t="s">
        <v>1239</v>
      </c>
      <c r="H652" t="s">
        <v>1296</v>
      </c>
      <c r="I652">
        <v>1638</v>
      </c>
      <c r="J652" t="s">
        <v>21</v>
      </c>
      <c r="K652">
        <v>0</v>
      </c>
      <c r="L652" t="s">
        <v>35</v>
      </c>
      <c r="M652">
        <v>1120</v>
      </c>
    </row>
    <row r="653" spans="1:13">
      <c r="A653">
        <v>647</v>
      </c>
      <c r="B653">
        <v>112813</v>
      </c>
      <c r="C653" t="s">
        <v>1644</v>
      </c>
      <c r="D653" t="s">
        <v>180</v>
      </c>
      <c r="E653" t="s">
        <v>1645</v>
      </c>
      <c r="F653" t="str">
        <f>"00409573"</f>
        <v>00409573</v>
      </c>
      <c r="G653" t="s">
        <v>760</v>
      </c>
      <c r="H653" t="s">
        <v>20</v>
      </c>
      <c r="I653">
        <v>1432</v>
      </c>
      <c r="J653" t="s">
        <v>21</v>
      </c>
      <c r="K653">
        <v>0</v>
      </c>
      <c r="M653">
        <v>1486</v>
      </c>
    </row>
    <row r="654" spans="1:13">
      <c r="A654">
        <v>648</v>
      </c>
      <c r="B654">
        <v>96198</v>
      </c>
      <c r="C654" t="s">
        <v>1646</v>
      </c>
      <c r="D654" t="s">
        <v>76</v>
      </c>
      <c r="E654" t="s">
        <v>1647</v>
      </c>
      <c r="F654" t="str">
        <f>"00407977"</f>
        <v>00407977</v>
      </c>
      <c r="G654" t="s">
        <v>190</v>
      </c>
      <c r="H654" t="s">
        <v>191</v>
      </c>
      <c r="I654">
        <v>1618</v>
      </c>
      <c r="J654" t="s">
        <v>21</v>
      </c>
      <c r="K654">
        <v>0</v>
      </c>
      <c r="M654">
        <v>1600</v>
      </c>
    </row>
    <row r="655" spans="1:13">
      <c r="A655">
        <v>649</v>
      </c>
      <c r="B655">
        <v>88470</v>
      </c>
      <c r="C655" t="s">
        <v>1648</v>
      </c>
      <c r="D655" t="s">
        <v>1649</v>
      </c>
      <c r="E655" t="s">
        <v>1650</v>
      </c>
      <c r="F655" t="str">
        <f>"00391773"</f>
        <v>00391773</v>
      </c>
      <c r="G655" t="s">
        <v>1160</v>
      </c>
      <c r="H655" t="s">
        <v>20</v>
      </c>
      <c r="I655">
        <v>1424</v>
      </c>
      <c r="J655" t="s">
        <v>21</v>
      </c>
      <c r="K655">
        <v>0</v>
      </c>
      <c r="L655" t="s">
        <v>35</v>
      </c>
      <c r="M655">
        <v>1108</v>
      </c>
    </row>
    <row r="656" spans="1:13">
      <c r="A656">
        <v>650</v>
      </c>
      <c r="B656">
        <v>110285</v>
      </c>
      <c r="C656" t="s">
        <v>1651</v>
      </c>
      <c r="D656" t="s">
        <v>121</v>
      </c>
      <c r="E656" t="s">
        <v>1652</v>
      </c>
      <c r="F656" t="str">
        <f>"00419505"</f>
        <v>00419505</v>
      </c>
      <c r="G656" t="s">
        <v>1653</v>
      </c>
      <c r="H656" t="s">
        <v>20</v>
      </c>
      <c r="I656">
        <v>1573</v>
      </c>
      <c r="J656" t="s">
        <v>21</v>
      </c>
      <c r="K656">
        <v>0</v>
      </c>
      <c r="M656">
        <v>1568</v>
      </c>
    </row>
    <row r="657" spans="1:13">
      <c r="A657">
        <v>651</v>
      </c>
      <c r="B657">
        <v>67494</v>
      </c>
      <c r="C657" t="s">
        <v>1654</v>
      </c>
      <c r="D657" t="s">
        <v>90</v>
      </c>
      <c r="E657" t="s">
        <v>1655</v>
      </c>
      <c r="F657" t="str">
        <f>"00092759"</f>
        <v>00092759</v>
      </c>
      <c r="G657" t="s">
        <v>92</v>
      </c>
      <c r="H657" t="s">
        <v>20</v>
      </c>
      <c r="I657">
        <v>1425</v>
      </c>
      <c r="J657" t="s">
        <v>21</v>
      </c>
      <c r="K657">
        <v>0</v>
      </c>
      <c r="L657" t="s">
        <v>35</v>
      </c>
      <c r="M657">
        <v>1190</v>
      </c>
    </row>
    <row r="658" spans="1:13">
      <c r="A658">
        <v>652</v>
      </c>
      <c r="B658">
        <v>72495</v>
      </c>
      <c r="C658" t="s">
        <v>1656</v>
      </c>
      <c r="D658" t="s">
        <v>105</v>
      </c>
      <c r="E658" t="s">
        <v>1657</v>
      </c>
      <c r="F658" t="str">
        <f>"00394107"</f>
        <v>00394107</v>
      </c>
      <c r="G658" t="s">
        <v>1321</v>
      </c>
      <c r="H658" t="s">
        <v>234</v>
      </c>
      <c r="I658">
        <v>1330</v>
      </c>
      <c r="J658" t="s">
        <v>21</v>
      </c>
      <c r="K658">
        <v>0</v>
      </c>
      <c r="L658" t="s">
        <v>35</v>
      </c>
      <c r="M658">
        <v>1135</v>
      </c>
    </row>
    <row r="659" spans="1:13">
      <c r="A659">
        <v>653</v>
      </c>
      <c r="B659">
        <v>55783</v>
      </c>
      <c r="C659" t="s">
        <v>1658</v>
      </c>
      <c r="D659" t="s">
        <v>76</v>
      </c>
      <c r="E659" t="s">
        <v>1659</v>
      </c>
      <c r="F659" t="str">
        <f>"00355388"</f>
        <v>00355388</v>
      </c>
      <c r="G659" t="s">
        <v>1660</v>
      </c>
      <c r="H659" t="s">
        <v>137</v>
      </c>
      <c r="I659">
        <v>1603</v>
      </c>
      <c r="J659" t="s">
        <v>21</v>
      </c>
      <c r="K659">
        <v>0</v>
      </c>
      <c r="M659">
        <v>1325</v>
      </c>
    </row>
    <row r="660" spans="1:13">
      <c r="A660">
        <v>654</v>
      </c>
      <c r="B660">
        <v>55204</v>
      </c>
      <c r="C660" t="s">
        <v>1661</v>
      </c>
      <c r="D660" t="s">
        <v>1385</v>
      </c>
      <c r="E660" t="s">
        <v>1662</v>
      </c>
      <c r="F660" t="str">
        <f>"00324096"</f>
        <v>00324096</v>
      </c>
      <c r="G660" t="s">
        <v>531</v>
      </c>
      <c r="H660" t="s">
        <v>20</v>
      </c>
      <c r="I660">
        <v>1445</v>
      </c>
      <c r="J660" t="s">
        <v>21</v>
      </c>
      <c r="K660">
        <v>0</v>
      </c>
      <c r="L660" t="s">
        <v>35</v>
      </c>
      <c r="M660">
        <v>1100</v>
      </c>
    </row>
    <row r="661" spans="1:13">
      <c r="A661">
        <v>655</v>
      </c>
      <c r="B661">
        <v>96059</v>
      </c>
      <c r="C661" t="s">
        <v>1663</v>
      </c>
      <c r="D661" t="s">
        <v>105</v>
      </c>
      <c r="E661" t="s">
        <v>1664</v>
      </c>
      <c r="F661" t="str">
        <f>"00082694"</f>
        <v>00082694</v>
      </c>
      <c r="G661" t="s">
        <v>47</v>
      </c>
      <c r="H661" t="s">
        <v>48</v>
      </c>
      <c r="I661">
        <v>1623</v>
      </c>
      <c r="J661" t="s">
        <v>21</v>
      </c>
      <c r="K661">
        <v>0</v>
      </c>
      <c r="L661" t="s">
        <v>59</v>
      </c>
      <c r="M661">
        <v>1188</v>
      </c>
    </row>
    <row r="662" spans="1:13">
      <c r="A662">
        <v>656</v>
      </c>
      <c r="B662">
        <v>83233</v>
      </c>
      <c r="C662" t="s">
        <v>1665</v>
      </c>
      <c r="D662" t="s">
        <v>1489</v>
      </c>
      <c r="E662" t="s">
        <v>1666</v>
      </c>
      <c r="F662" t="str">
        <f>"00203820"</f>
        <v>00203820</v>
      </c>
      <c r="G662" t="s">
        <v>100</v>
      </c>
      <c r="H662" t="s">
        <v>20</v>
      </c>
      <c r="I662">
        <v>1468</v>
      </c>
      <c r="J662" t="s">
        <v>21</v>
      </c>
      <c r="K662">
        <v>0</v>
      </c>
      <c r="M662">
        <v>1488</v>
      </c>
    </row>
    <row r="663" spans="1:13">
      <c r="A663">
        <v>657</v>
      </c>
      <c r="B663">
        <v>61342</v>
      </c>
      <c r="C663" t="s">
        <v>1667</v>
      </c>
      <c r="D663" t="s">
        <v>94</v>
      </c>
      <c r="E663" t="s">
        <v>1668</v>
      </c>
      <c r="F663" t="str">
        <f>"00381106"</f>
        <v>00381106</v>
      </c>
      <c r="G663" t="s">
        <v>107</v>
      </c>
      <c r="H663" t="s">
        <v>20</v>
      </c>
      <c r="I663">
        <v>1472</v>
      </c>
      <c r="J663" t="s">
        <v>21</v>
      </c>
      <c r="K663">
        <v>0</v>
      </c>
      <c r="L663" t="s">
        <v>35</v>
      </c>
      <c r="M663">
        <v>908</v>
      </c>
    </row>
    <row r="664" spans="1:13">
      <c r="A664">
        <v>658</v>
      </c>
      <c r="B664">
        <v>67739</v>
      </c>
      <c r="C664" t="s">
        <v>1669</v>
      </c>
      <c r="D664" t="s">
        <v>105</v>
      </c>
      <c r="E664" t="s">
        <v>1670</v>
      </c>
      <c r="F664" t="str">
        <f>"201507004186"</f>
        <v>201507004186</v>
      </c>
      <c r="G664" t="s">
        <v>371</v>
      </c>
      <c r="H664" t="s">
        <v>1671</v>
      </c>
      <c r="I664">
        <v>1718</v>
      </c>
      <c r="J664" t="s">
        <v>21</v>
      </c>
      <c r="K664">
        <v>6</v>
      </c>
      <c r="L664" t="s">
        <v>35</v>
      </c>
      <c r="M664">
        <v>650</v>
      </c>
    </row>
    <row r="665" spans="1:13">
      <c r="A665">
        <v>659</v>
      </c>
      <c r="B665">
        <v>65857</v>
      </c>
      <c r="C665" t="s">
        <v>1672</v>
      </c>
      <c r="D665" t="s">
        <v>931</v>
      </c>
      <c r="E665" t="s">
        <v>1673</v>
      </c>
      <c r="F665" t="str">
        <f>"00276086"</f>
        <v>00276086</v>
      </c>
      <c r="G665" t="s">
        <v>100</v>
      </c>
      <c r="H665" t="s">
        <v>20</v>
      </c>
      <c r="I665">
        <v>1468</v>
      </c>
      <c r="J665" t="s">
        <v>21</v>
      </c>
      <c r="K665">
        <v>0</v>
      </c>
      <c r="M665">
        <v>1802</v>
      </c>
    </row>
    <row r="666" spans="1:13">
      <c r="A666">
        <v>660</v>
      </c>
      <c r="B666">
        <v>88644</v>
      </c>
      <c r="C666" t="s">
        <v>1674</v>
      </c>
      <c r="D666" t="s">
        <v>1675</v>
      </c>
      <c r="E666" t="s">
        <v>1676</v>
      </c>
      <c r="F666" t="str">
        <f>"00044450"</f>
        <v>00044450</v>
      </c>
      <c r="G666" t="s">
        <v>284</v>
      </c>
      <c r="H666" t="s">
        <v>270</v>
      </c>
      <c r="I666">
        <v>1586</v>
      </c>
      <c r="J666" t="s">
        <v>21</v>
      </c>
      <c r="K666">
        <v>0</v>
      </c>
      <c r="M666">
        <v>1912</v>
      </c>
    </row>
    <row r="667" spans="1:13">
      <c r="A667">
        <v>661</v>
      </c>
      <c r="B667">
        <v>48602</v>
      </c>
      <c r="C667" t="s">
        <v>1677</v>
      </c>
      <c r="D667" t="s">
        <v>238</v>
      </c>
      <c r="E667" t="s">
        <v>1678</v>
      </c>
      <c r="F667" t="str">
        <f>"00275955"</f>
        <v>00275955</v>
      </c>
      <c r="G667" t="s">
        <v>230</v>
      </c>
      <c r="H667" t="s">
        <v>20</v>
      </c>
      <c r="I667">
        <v>1545</v>
      </c>
      <c r="J667" t="s">
        <v>21</v>
      </c>
      <c r="K667">
        <v>0</v>
      </c>
      <c r="M667">
        <v>1468</v>
      </c>
    </row>
    <row r="668" spans="1:13">
      <c r="A668">
        <v>662</v>
      </c>
      <c r="B668">
        <v>107869</v>
      </c>
      <c r="C668" t="s">
        <v>1679</v>
      </c>
      <c r="D668" t="s">
        <v>1680</v>
      </c>
      <c r="E668" t="s">
        <v>1681</v>
      </c>
      <c r="F668" t="str">
        <f>"00420916"</f>
        <v>00420916</v>
      </c>
      <c r="G668" t="s">
        <v>1682</v>
      </c>
      <c r="H668" t="s">
        <v>241</v>
      </c>
      <c r="I668">
        <v>1363</v>
      </c>
      <c r="J668" t="s">
        <v>21</v>
      </c>
      <c r="K668">
        <v>0</v>
      </c>
      <c r="L668" t="s">
        <v>59</v>
      </c>
      <c r="M668">
        <v>1148</v>
      </c>
    </row>
    <row r="669" spans="1:13">
      <c r="A669">
        <v>663</v>
      </c>
      <c r="B669">
        <v>86656</v>
      </c>
      <c r="C669" t="s">
        <v>1683</v>
      </c>
      <c r="D669" t="s">
        <v>80</v>
      </c>
      <c r="E669" t="s">
        <v>1684</v>
      </c>
      <c r="F669" t="str">
        <f>"00028648"</f>
        <v>00028648</v>
      </c>
      <c r="G669" t="s">
        <v>1561</v>
      </c>
      <c r="H669" t="s">
        <v>1562</v>
      </c>
      <c r="I669">
        <v>1616</v>
      </c>
      <c r="J669" t="s">
        <v>21</v>
      </c>
      <c r="K669">
        <v>0</v>
      </c>
      <c r="L669" t="s">
        <v>83</v>
      </c>
      <c r="M669">
        <v>1249</v>
      </c>
    </row>
    <row r="670" spans="1:13">
      <c r="A670">
        <v>664</v>
      </c>
      <c r="B670">
        <v>71431</v>
      </c>
      <c r="C670" t="s">
        <v>1685</v>
      </c>
      <c r="D670" t="s">
        <v>249</v>
      </c>
      <c r="E670" t="s">
        <v>1686</v>
      </c>
      <c r="F670" t="str">
        <f>"00355500"</f>
        <v>00355500</v>
      </c>
      <c r="G670" t="s">
        <v>38</v>
      </c>
      <c r="H670" t="s">
        <v>39</v>
      </c>
      <c r="I670">
        <v>1634</v>
      </c>
      <c r="J670" t="s">
        <v>21</v>
      </c>
      <c r="K670">
        <v>6</v>
      </c>
      <c r="M670">
        <v>1328</v>
      </c>
    </row>
    <row r="671" spans="1:13">
      <c r="A671">
        <v>665</v>
      </c>
      <c r="B671">
        <v>90508</v>
      </c>
      <c r="C671" t="s">
        <v>1687</v>
      </c>
      <c r="D671" t="s">
        <v>109</v>
      </c>
      <c r="E671" t="s">
        <v>1688</v>
      </c>
      <c r="F671" t="str">
        <f>"00311035"</f>
        <v>00311035</v>
      </c>
      <c r="G671" t="s">
        <v>107</v>
      </c>
      <c r="H671" t="s">
        <v>20</v>
      </c>
      <c r="I671">
        <v>1472</v>
      </c>
      <c r="J671" t="s">
        <v>21</v>
      </c>
      <c r="K671">
        <v>0</v>
      </c>
      <c r="L671" t="s">
        <v>83</v>
      </c>
      <c r="M671">
        <v>1228</v>
      </c>
    </row>
    <row r="672" spans="1:13">
      <c r="A672">
        <v>666</v>
      </c>
      <c r="B672">
        <v>77026</v>
      </c>
      <c r="C672" t="s">
        <v>1689</v>
      </c>
      <c r="D672" t="s">
        <v>213</v>
      </c>
      <c r="E672" t="s">
        <v>1690</v>
      </c>
      <c r="F672" t="str">
        <f>"00300302"</f>
        <v>00300302</v>
      </c>
      <c r="G672" t="s">
        <v>150</v>
      </c>
      <c r="H672" t="s">
        <v>151</v>
      </c>
      <c r="I672">
        <v>1699</v>
      </c>
      <c r="J672" t="s">
        <v>21</v>
      </c>
      <c r="K672">
        <v>0</v>
      </c>
      <c r="M672">
        <v>1325</v>
      </c>
    </row>
    <row r="673" spans="1:13">
      <c r="A673">
        <v>667</v>
      </c>
      <c r="B673">
        <v>64583</v>
      </c>
      <c r="C673" t="s">
        <v>1691</v>
      </c>
      <c r="D673" t="s">
        <v>213</v>
      </c>
      <c r="E673" t="s">
        <v>1692</v>
      </c>
      <c r="F673" t="str">
        <f>"00302422"</f>
        <v>00302422</v>
      </c>
      <c r="G673" t="s">
        <v>211</v>
      </c>
      <c r="H673" t="s">
        <v>20</v>
      </c>
      <c r="I673">
        <v>1539</v>
      </c>
      <c r="J673" t="s">
        <v>21</v>
      </c>
      <c r="K673">
        <v>0</v>
      </c>
      <c r="M673">
        <v>1588</v>
      </c>
    </row>
    <row r="674" spans="1:13">
      <c r="A674">
        <v>668</v>
      </c>
      <c r="B674">
        <v>85567</v>
      </c>
      <c r="C674" t="s">
        <v>1693</v>
      </c>
      <c r="D674" t="s">
        <v>243</v>
      </c>
      <c r="E674" t="s">
        <v>1694</v>
      </c>
      <c r="F674" t="str">
        <f>"00388704"</f>
        <v>00388704</v>
      </c>
      <c r="G674" t="s">
        <v>1695</v>
      </c>
      <c r="H674" t="s">
        <v>20</v>
      </c>
      <c r="I674">
        <v>1533</v>
      </c>
      <c r="J674" t="s">
        <v>21</v>
      </c>
      <c r="K674">
        <v>0</v>
      </c>
      <c r="L674" t="s">
        <v>35</v>
      </c>
      <c r="M674">
        <v>850</v>
      </c>
    </row>
    <row r="675" spans="1:13">
      <c r="A675">
        <v>669</v>
      </c>
      <c r="B675">
        <v>105524</v>
      </c>
      <c r="C675" t="s">
        <v>1696</v>
      </c>
      <c r="D675" t="s">
        <v>105</v>
      </c>
      <c r="E675" t="s">
        <v>1697</v>
      </c>
      <c r="F675" t="str">
        <f>"00096003"</f>
        <v>00096003</v>
      </c>
      <c r="G675" t="s">
        <v>380</v>
      </c>
      <c r="H675" t="s">
        <v>20</v>
      </c>
      <c r="I675">
        <v>1496</v>
      </c>
      <c r="J675" t="s">
        <v>21</v>
      </c>
      <c r="K675">
        <v>0</v>
      </c>
      <c r="L675" t="s">
        <v>35</v>
      </c>
      <c r="M675">
        <v>1270</v>
      </c>
    </row>
    <row r="676" spans="1:13">
      <c r="A676">
        <v>670</v>
      </c>
      <c r="B676">
        <v>102866</v>
      </c>
      <c r="C676" t="s">
        <v>1698</v>
      </c>
      <c r="D676" t="s">
        <v>145</v>
      </c>
      <c r="E676" t="s">
        <v>1699</v>
      </c>
      <c r="F676" t="str">
        <f>"00249499"</f>
        <v>00249499</v>
      </c>
      <c r="G676" t="s">
        <v>760</v>
      </c>
      <c r="H676" t="s">
        <v>20</v>
      </c>
      <c r="I676">
        <v>1432</v>
      </c>
      <c r="J676" t="s">
        <v>21</v>
      </c>
      <c r="K676">
        <v>0</v>
      </c>
      <c r="M676">
        <v>1528</v>
      </c>
    </row>
    <row r="677" spans="1:13">
      <c r="A677">
        <v>671</v>
      </c>
      <c r="B677">
        <v>104018</v>
      </c>
      <c r="C677" t="s">
        <v>1698</v>
      </c>
      <c r="D677" t="s">
        <v>109</v>
      </c>
      <c r="E677" t="s">
        <v>1700</v>
      </c>
      <c r="F677" t="str">
        <f>"00280470"</f>
        <v>00280470</v>
      </c>
      <c r="G677" t="s">
        <v>1321</v>
      </c>
      <c r="H677" t="s">
        <v>234</v>
      </c>
      <c r="I677">
        <v>1330</v>
      </c>
      <c r="J677" t="s">
        <v>21</v>
      </c>
      <c r="K677">
        <v>0</v>
      </c>
      <c r="L677" t="s">
        <v>35</v>
      </c>
      <c r="M677">
        <v>1008</v>
      </c>
    </row>
    <row r="678" spans="1:13">
      <c r="A678">
        <v>672</v>
      </c>
      <c r="B678">
        <v>85268</v>
      </c>
      <c r="C678" t="s">
        <v>1701</v>
      </c>
      <c r="D678" t="s">
        <v>495</v>
      </c>
      <c r="E678" t="s">
        <v>1702</v>
      </c>
      <c r="F678" t="str">
        <f>"00380637"</f>
        <v>00380637</v>
      </c>
      <c r="G678" t="s">
        <v>332</v>
      </c>
      <c r="H678" t="s">
        <v>20</v>
      </c>
      <c r="I678">
        <v>1558</v>
      </c>
      <c r="J678" t="s">
        <v>21</v>
      </c>
      <c r="K678">
        <v>6</v>
      </c>
      <c r="L678" t="s">
        <v>35</v>
      </c>
      <c r="M678">
        <v>1108</v>
      </c>
    </row>
    <row r="679" spans="1:13">
      <c r="A679">
        <v>673</v>
      </c>
      <c r="B679">
        <v>61672</v>
      </c>
      <c r="C679" t="s">
        <v>1703</v>
      </c>
      <c r="D679" t="s">
        <v>243</v>
      </c>
      <c r="E679" t="s">
        <v>1704</v>
      </c>
      <c r="F679" t="str">
        <f>"00369037"</f>
        <v>00369037</v>
      </c>
      <c r="G679" t="s">
        <v>1705</v>
      </c>
      <c r="H679" t="s">
        <v>234</v>
      </c>
      <c r="I679">
        <v>1329</v>
      </c>
      <c r="J679" t="s">
        <v>21</v>
      </c>
      <c r="K679">
        <v>0</v>
      </c>
      <c r="M679">
        <v>1688</v>
      </c>
    </row>
    <row r="680" spans="1:13">
      <c r="A680">
        <v>674</v>
      </c>
      <c r="B680">
        <v>105091</v>
      </c>
      <c r="C680" t="s">
        <v>1706</v>
      </c>
      <c r="D680" t="s">
        <v>905</v>
      </c>
      <c r="E680" t="s">
        <v>1707</v>
      </c>
      <c r="F680" t="str">
        <f>"00371153"</f>
        <v>00371153</v>
      </c>
      <c r="G680" t="s">
        <v>696</v>
      </c>
      <c r="H680" t="s">
        <v>20</v>
      </c>
      <c r="I680">
        <v>1520</v>
      </c>
      <c r="J680" t="s">
        <v>21</v>
      </c>
      <c r="K680">
        <v>0</v>
      </c>
      <c r="M680">
        <v>1378</v>
      </c>
    </row>
    <row r="681" spans="1:13">
      <c r="A681">
        <v>675</v>
      </c>
      <c r="B681">
        <v>93375</v>
      </c>
      <c r="C681" t="s">
        <v>1708</v>
      </c>
      <c r="D681" t="s">
        <v>905</v>
      </c>
      <c r="E681" t="s">
        <v>1709</v>
      </c>
      <c r="F681" t="str">
        <f>"00397011"</f>
        <v>00397011</v>
      </c>
      <c r="G681" t="s">
        <v>520</v>
      </c>
      <c r="H681" t="s">
        <v>20</v>
      </c>
      <c r="I681">
        <v>1540</v>
      </c>
      <c r="J681" t="s">
        <v>21</v>
      </c>
      <c r="K681">
        <v>0</v>
      </c>
      <c r="L681" t="s">
        <v>59</v>
      </c>
      <c r="M681">
        <v>1088</v>
      </c>
    </row>
    <row r="682" spans="1:13">
      <c r="A682">
        <v>676</v>
      </c>
      <c r="B682">
        <v>70816</v>
      </c>
      <c r="C682" t="s">
        <v>1710</v>
      </c>
      <c r="D682" t="s">
        <v>243</v>
      </c>
      <c r="E682" t="s">
        <v>1711</v>
      </c>
      <c r="F682" t="str">
        <f>"00402470"</f>
        <v>00402470</v>
      </c>
      <c r="G682" t="s">
        <v>1712</v>
      </c>
      <c r="H682" t="s">
        <v>241</v>
      </c>
      <c r="I682">
        <v>1362</v>
      </c>
      <c r="J682" t="s">
        <v>21</v>
      </c>
      <c r="K682">
        <v>0</v>
      </c>
      <c r="L682" t="s">
        <v>35</v>
      </c>
      <c r="M682">
        <v>1111</v>
      </c>
    </row>
    <row r="683" spans="1:13">
      <c r="A683">
        <v>677</v>
      </c>
      <c r="B683">
        <v>80959</v>
      </c>
      <c r="C683" t="s">
        <v>1713</v>
      </c>
      <c r="D683" t="s">
        <v>73</v>
      </c>
      <c r="E683" t="s">
        <v>1714</v>
      </c>
      <c r="F683" t="str">
        <f>"00385696"</f>
        <v>00385696</v>
      </c>
      <c r="G683" t="s">
        <v>1160</v>
      </c>
      <c r="H683" t="s">
        <v>20</v>
      </c>
      <c r="I683">
        <v>1424</v>
      </c>
      <c r="J683" t="s">
        <v>21</v>
      </c>
      <c r="K683">
        <v>0</v>
      </c>
      <c r="M683">
        <v>1803</v>
      </c>
    </row>
    <row r="684" spans="1:13">
      <c r="A684">
        <v>678</v>
      </c>
      <c r="B684">
        <v>111294</v>
      </c>
      <c r="C684" t="s">
        <v>1715</v>
      </c>
      <c r="D684" t="s">
        <v>117</v>
      </c>
      <c r="E684" t="s">
        <v>1716</v>
      </c>
      <c r="F684" t="str">
        <f>"00409069"</f>
        <v>00409069</v>
      </c>
      <c r="G684" t="s">
        <v>1165</v>
      </c>
      <c r="H684" t="s">
        <v>20</v>
      </c>
      <c r="I684">
        <v>1422</v>
      </c>
      <c r="J684" t="s">
        <v>21</v>
      </c>
      <c r="K684">
        <v>0</v>
      </c>
      <c r="L684" t="s">
        <v>83</v>
      </c>
      <c r="M684">
        <v>1488</v>
      </c>
    </row>
    <row r="685" spans="1:13">
      <c r="A685">
        <v>679</v>
      </c>
      <c r="B685">
        <v>97725</v>
      </c>
      <c r="C685" t="s">
        <v>1717</v>
      </c>
      <c r="D685" t="s">
        <v>90</v>
      </c>
      <c r="E685" t="s">
        <v>1718</v>
      </c>
      <c r="F685" t="str">
        <f>"00375077"</f>
        <v>00375077</v>
      </c>
      <c r="G685" t="s">
        <v>245</v>
      </c>
      <c r="H685" t="s">
        <v>20</v>
      </c>
      <c r="I685">
        <v>1406</v>
      </c>
      <c r="J685" t="s">
        <v>21</v>
      </c>
      <c r="K685">
        <v>0</v>
      </c>
      <c r="M685">
        <v>1388</v>
      </c>
    </row>
    <row r="686" spans="1:13">
      <c r="A686">
        <v>680</v>
      </c>
      <c r="B686">
        <v>96882</v>
      </c>
      <c r="C686" t="s">
        <v>1719</v>
      </c>
      <c r="D686" t="s">
        <v>243</v>
      </c>
      <c r="E686" t="s">
        <v>1720</v>
      </c>
      <c r="F686" t="str">
        <f>"00375691"</f>
        <v>00375691</v>
      </c>
      <c r="G686" t="s">
        <v>200</v>
      </c>
      <c r="H686" t="s">
        <v>20</v>
      </c>
      <c r="I686">
        <v>1492</v>
      </c>
      <c r="J686" t="s">
        <v>21</v>
      </c>
      <c r="K686">
        <v>0</v>
      </c>
      <c r="L686" t="s">
        <v>35</v>
      </c>
      <c r="M686">
        <v>908</v>
      </c>
    </row>
    <row r="687" spans="1:13">
      <c r="A687">
        <v>681</v>
      </c>
      <c r="B687">
        <v>52627</v>
      </c>
      <c r="C687" t="s">
        <v>1721</v>
      </c>
      <c r="D687" t="s">
        <v>228</v>
      </c>
      <c r="E687" t="s">
        <v>1722</v>
      </c>
      <c r="F687" t="str">
        <f>"201508000054"</f>
        <v>201508000054</v>
      </c>
      <c r="G687" t="s">
        <v>258</v>
      </c>
      <c r="H687" t="s">
        <v>20</v>
      </c>
      <c r="I687">
        <v>1484</v>
      </c>
      <c r="J687" t="s">
        <v>21</v>
      </c>
      <c r="K687">
        <v>0</v>
      </c>
      <c r="L687" t="s">
        <v>112</v>
      </c>
      <c r="M687">
        <v>800</v>
      </c>
    </row>
    <row r="688" spans="1:13">
      <c r="A688">
        <v>682</v>
      </c>
      <c r="B688">
        <v>50321</v>
      </c>
      <c r="C688" t="s">
        <v>1723</v>
      </c>
      <c r="D688" t="s">
        <v>145</v>
      </c>
      <c r="E688" t="s">
        <v>1724</v>
      </c>
      <c r="F688" t="str">
        <f>"00351135"</f>
        <v>00351135</v>
      </c>
      <c r="G688" t="s">
        <v>70</v>
      </c>
      <c r="H688" t="s">
        <v>71</v>
      </c>
      <c r="I688">
        <v>1702</v>
      </c>
      <c r="J688" t="s">
        <v>21</v>
      </c>
      <c r="K688">
        <v>0</v>
      </c>
      <c r="M688">
        <v>1428</v>
      </c>
    </row>
    <row r="689" spans="1:13">
      <c r="A689">
        <v>683</v>
      </c>
      <c r="B689">
        <v>64765</v>
      </c>
      <c r="C689" t="s">
        <v>1725</v>
      </c>
      <c r="D689" t="s">
        <v>243</v>
      </c>
      <c r="E689" t="s">
        <v>1726</v>
      </c>
      <c r="F689" t="str">
        <f>"00352909"</f>
        <v>00352909</v>
      </c>
      <c r="G689" t="s">
        <v>245</v>
      </c>
      <c r="H689" t="s">
        <v>20</v>
      </c>
      <c r="I689">
        <v>1406</v>
      </c>
      <c r="J689" t="s">
        <v>21</v>
      </c>
      <c r="K689">
        <v>0</v>
      </c>
      <c r="L689" t="s">
        <v>35</v>
      </c>
      <c r="M689">
        <v>921</v>
      </c>
    </row>
    <row r="690" spans="1:13">
      <c r="A690">
        <v>684</v>
      </c>
      <c r="B690">
        <v>114881</v>
      </c>
      <c r="C690" t="s">
        <v>1727</v>
      </c>
      <c r="D690" t="s">
        <v>94</v>
      </c>
      <c r="E690" t="s">
        <v>1728</v>
      </c>
      <c r="F690" t="str">
        <f>"201604000728"</f>
        <v>201604000728</v>
      </c>
      <c r="G690" t="s">
        <v>19</v>
      </c>
      <c r="H690" t="s">
        <v>20</v>
      </c>
      <c r="I690">
        <v>1531</v>
      </c>
      <c r="J690" t="s">
        <v>21</v>
      </c>
      <c r="K690">
        <v>0</v>
      </c>
      <c r="L690" t="s">
        <v>35</v>
      </c>
      <c r="M690">
        <v>900</v>
      </c>
    </row>
    <row r="691" spans="1:13">
      <c r="A691">
        <v>685</v>
      </c>
      <c r="B691">
        <v>59988</v>
      </c>
      <c r="C691" t="s">
        <v>1729</v>
      </c>
      <c r="D691" t="s">
        <v>1001</v>
      </c>
      <c r="E691" t="s">
        <v>1730</v>
      </c>
      <c r="F691" t="str">
        <f>"00379600"</f>
        <v>00379600</v>
      </c>
      <c r="G691" t="s">
        <v>147</v>
      </c>
      <c r="H691" t="s">
        <v>20</v>
      </c>
      <c r="I691">
        <v>1529</v>
      </c>
      <c r="J691" t="s">
        <v>21</v>
      </c>
      <c r="K691">
        <v>0</v>
      </c>
      <c r="L691" t="s">
        <v>35</v>
      </c>
      <c r="M691">
        <v>1072</v>
      </c>
    </row>
    <row r="692" spans="1:13">
      <c r="A692">
        <v>686</v>
      </c>
      <c r="B692">
        <v>106040</v>
      </c>
      <c r="C692" t="s">
        <v>1731</v>
      </c>
      <c r="D692" t="s">
        <v>105</v>
      </c>
      <c r="E692" t="s">
        <v>1732</v>
      </c>
      <c r="F692" t="str">
        <f>"00400267"</f>
        <v>00400267</v>
      </c>
      <c r="G692" t="s">
        <v>38</v>
      </c>
      <c r="H692" t="s">
        <v>39</v>
      </c>
      <c r="I692">
        <v>1634</v>
      </c>
      <c r="J692" t="s">
        <v>21</v>
      </c>
      <c r="K692">
        <v>6</v>
      </c>
      <c r="M692">
        <v>1228</v>
      </c>
    </row>
    <row r="693" spans="1:13">
      <c r="A693">
        <v>687</v>
      </c>
      <c r="B693">
        <v>77372</v>
      </c>
      <c r="C693" t="s">
        <v>1733</v>
      </c>
      <c r="D693" t="s">
        <v>811</v>
      </c>
      <c r="E693" t="s">
        <v>1734</v>
      </c>
      <c r="F693" t="str">
        <f>"00384980"</f>
        <v>00384980</v>
      </c>
      <c r="G693" t="s">
        <v>38</v>
      </c>
      <c r="H693" t="s">
        <v>39</v>
      </c>
      <c r="I693">
        <v>1634</v>
      </c>
      <c r="J693" t="s">
        <v>21</v>
      </c>
      <c r="K693">
        <v>6</v>
      </c>
      <c r="L693" t="s">
        <v>35</v>
      </c>
      <c r="M693">
        <v>850</v>
      </c>
    </row>
    <row r="694" spans="1:13">
      <c r="A694">
        <v>688</v>
      </c>
      <c r="B694">
        <v>65204</v>
      </c>
      <c r="C694" t="s">
        <v>1735</v>
      </c>
      <c r="D694" t="s">
        <v>628</v>
      </c>
      <c r="E694" t="s">
        <v>1736</v>
      </c>
      <c r="F694" t="str">
        <f>"00103755"</f>
        <v>00103755</v>
      </c>
      <c r="G694" t="s">
        <v>583</v>
      </c>
      <c r="H694" t="s">
        <v>137</v>
      </c>
      <c r="I694">
        <v>1601</v>
      </c>
      <c r="J694" t="s">
        <v>21</v>
      </c>
      <c r="K694">
        <v>0</v>
      </c>
      <c r="M694">
        <v>1428</v>
      </c>
    </row>
    <row r="695" spans="1:13">
      <c r="A695">
        <v>689</v>
      </c>
      <c r="B695">
        <v>61447</v>
      </c>
      <c r="C695" t="s">
        <v>1735</v>
      </c>
      <c r="D695" t="s">
        <v>180</v>
      </c>
      <c r="E695" t="s">
        <v>1737</v>
      </c>
      <c r="F695" t="str">
        <f>"00138272"</f>
        <v>00138272</v>
      </c>
      <c r="G695" t="s">
        <v>1556</v>
      </c>
      <c r="H695" t="s">
        <v>20</v>
      </c>
      <c r="I695">
        <v>1530</v>
      </c>
      <c r="J695" t="s">
        <v>21</v>
      </c>
      <c r="K695">
        <v>0</v>
      </c>
      <c r="L695" t="s">
        <v>59</v>
      </c>
      <c r="M695">
        <v>1138</v>
      </c>
    </row>
    <row r="696" spans="1:13">
      <c r="A696">
        <v>690</v>
      </c>
      <c r="B696">
        <v>84596</v>
      </c>
      <c r="C696" t="s">
        <v>1738</v>
      </c>
      <c r="D696" t="s">
        <v>557</v>
      </c>
      <c r="E696" t="s">
        <v>1739</v>
      </c>
      <c r="F696" t="str">
        <f>"00365802"</f>
        <v>00365802</v>
      </c>
      <c r="G696" t="s">
        <v>107</v>
      </c>
      <c r="H696" t="s">
        <v>20</v>
      </c>
      <c r="I696">
        <v>1472</v>
      </c>
      <c r="J696" t="s">
        <v>21</v>
      </c>
      <c r="K696">
        <v>0</v>
      </c>
      <c r="L696" t="s">
        <v>35</v>
      </c>
      <c r="M696">
        <v>1108</v>
      </c>
    </row>
    <row r="697" spans="1:13">
      <c r="A697">
        <v>691</v>
      </c>
      <c r="B697">
        <v>60111</v>
      </c>
      <c r="C697" t="s">
        <v>1740</v>
      </c>
      <c r="D697" t="s">
        <v>80</v>
      </c>
      <c r="E697" t="s">
        <v>1741</v>
      </c>
      <c r="F697" t="str">
        <f>"00252041"</f>
        <v>00252041</v>
      </c>
      <c r="G697" t="s">
        <v>1742</v>
      </c>
      <c r="H697" t="s">
        <v>241</v>
      </c>
      <c r="I697">
        <v>1365</v>
      </c>
      <c r="J697" t="s">
        <v>21</v>
      </c>
      <c r="K697">
        <v>0</v>
      </c>
      <c r="M697">
        <v>1472</v>
      </c>
    </row>
    <row r="698" spans="1:13">
      <c r="A698">
        <v>692</v>
      </c>
      <c r="B698">
        <v>93819</v>
      </c>
      <c r="C698" t="s">
        <v>1743</v>
      </c>
      <c r="D698" t="s">
        <v>180</v>
      </c>
      <c r="E698" t="s">
        <v>1744</v>
      </c>
      <c r="F698" t="str">
        <f>"201511011968"</f>
        <v>201511011968</v>
      </c>
      <c r="G698" t="s">
        <v>211</v>
      </c>
      <c r="H698" t="s">
        <v>48</v>
      </c>
      <c r="I698">
        <v>1628</v>
      </c>
      <c r="J698" t="s">
        <v>21</v>
      </c>
      <c r="K698">
        <v>0</v>
      </c>
      <c r="L698" t="s">
        <v>35</v>
      </c>
      <c r="M698">
        <v>908</v>
      </c>
    </row>
    <row r="699" spans="1:13">
      <c r="A699">
        <v>693</v>
      </c>
      <c r="B699">
        <v>83102</v>
      </c>
      <c r="C699" t="s">
        <v>1745</v>
      </c>
      <c r="D699" t="s">
        <v>80</v>
      </c>
      <c r="E699" t="s">
        <v>1746</v>
      </c>
      <c r="F699" t="str">
        <f>"00395466"</f>
        <v>00395466</v>
      </c>
      <c r="G699" t="s">
        <v>1747</v>
      </c>
      <c r="H699" t="s">
        <v>1748</v>
      </c>
      <c r="I699">
        <v>1347</v>
      </c>
      <c r="J699" t="s">
        <v>21</v>
      </c>
      <c r="K699">
        <v>6</v>
      </c>
      <c r="L699" t="s">
        <v>35</v>
      </c>
      <c r="M699">
        <v>708</v>
      </c>
    </row>
    <row r="700" spans="1:13">
      <c r="A700">
        <v>694</v>
      </c>
      <c r="B700">
        <v>84736</v>
      </c>
      <c r="C700" t="s">
        <v>1749</v>
      </c>
      <c r="D700" t="s">
        <v>76</v>
      </c>
      <c r="E700" t="s">
        <v>1750</v>
      </c>
      <c r="F700" t="str">
        <f>"00253987"</f>
        <v>00253987</v>
      </c>
      <c r="G700" t="s">
        <v>125</v>
      </c>
      <c r="H700" t="s">
        <v>20</v>
      </c>
      <c r="I700">
        <v>1507</v>
      </c>
      <c r="J700" t="s">
        <v>21</v>
      </c>
      <c r="K700">
        <v>0</v>
      </c>
      <c r="L700" t="s">
        <v>35</v>
      </c>
      <c r="M700">
        <v>1008</v>
      </c>
    </row>
    <row r="701" spans="1:13">
      <c r="A701">
        <v>695</v>
      </c>
      <c r="B701">
        <v>75900</v>
      </c>
      <c r="C701" t="s">
        <v>1751</v>
      </c>
      <c r="D701" t="s">
        <v>563</v>
      </c>
      <c r="E701" t="s">
        <v>1752</v>
      </c>
      <c r="F701" t="str">
        <f>"201511041719"</f>
        <v>201511041719</v>
      </c>
      <c r="G701" t="s">
        <v>1753</v>
      </c>
      <c r="H701" t="s">
        <v>20</v>
      </c>
      <c r="I701">
        <v>1544</v>
      </c>
      <c r="J701" t="s">
        <v>21</v>
      </c>
      <c r="K701">
        <v>0</v>
      </c>
      <c r="M701">
        <v>1468</v>
      </c>
    </row>
    <row r="702" spans="1:13">
      <c r="A702">
        <v>696</v>
      </c>
      <c r="B702">
        <v>86830</v>
      </c>
      <c r="C702" t="s">
        <v>1754</v>
      </c>
      <c r="D702" t="s">
        <v>180</v>
      </c>
      <c r="E702" t="s">
        <v>1755</v>
      </c>
      <c r="F702" t="str">
        <f>"00401161"</f>
        <v>00401161</v>
      </c>
      <c r="G702" t="s">
        <v>371</v>
      </c>
      <c r="H702" t="s">
        <v>20</v>
      </c>
      <c r="I702">
        <v>1526</v>
      </c>
      <c r="J702" t="s">
        <v>21</v>
      </c>
      <c r="K702">
        <v>6</v>
      </c>
      <c r="L702" t="s">
        <v>35</v>
      </c>
      <c r="M702">
        <v>408</v>
      </c>
    </row>
    <row r="703" spans="1:13">
      <c r="A703">
        <v>697</v>
      </c>
      <c r="B703">
        <v>76852</v>
      </c>
      <c r="C703" t="s">
        <v>1756</v>
      </c>
      <c r="D703" t="s">
        <v>288</v>
      </c>
      <c r="E703" t="s">
        <v>1757</v>
      </c>
      <c r="F703" t="str">
        <f>"201511014147"</f>
        <v>201511014147</v>
      </c>
      <c r="G703" t="s">
        <v>107</v>
      </c>
      <c r="H703" t="s">
        <v>20</v>
      </c>
      <c r="I703">
        <v>1472</v>
      </c>
      <c r="J703" t="s">
        <v>21</v>
      </c>
      <c r="K703">
        <v>0</v>
      </c>
      <c r="L703" t="s">
        <v>88</v>
      </c>
      <c r="M703">
        <v>600</v>
      </c>
    </row>
    <row r="704" spans="1:13">
      <c r="A704">
        <v>698</v>
      </c>
      <c r="B704">
        <v>77787</v>
      </c>
      <c r="C704" t="s">
        <v>1758</v>
      </c>
      <c r="D704" t="s">
        <v>1759</v>
      </c>
      <c r="E704" t="s">
        <v>1760</v>
      </c>
      <c r="F704" t="str">
        <f>"00313341"</f>
        <v>00313341</v>
      </c>
      <c r="G704" t="s">
        <v>365</v>
      </c>
      <c r="H704" t="s">
        <v>366</v>
      </c>
      <c r="I704">
        <v>1692</v>
      </c>
      <c r="J704" t="s">
        <v>21</v>
      </c>
      <c r="K704">
        <v>0</v>
      </c>
      <c r="L704" t="s">
        <v>35</v>
      </c>
      <c r="M704">
        <v>908</v>
      </c>
    </row>
    <row r="705" spans="1:13">
      <c r="A705">
        <v>699</v>
      </c>
      <c r="B705">
        <v>76603</v>
      </c>
      <c r="C705" t="s">
        <v>1761</v>
      </c>
      <c r="D705" t="s">
        <v>1762</v>
      </c>
      <c r="E705" t="s">
        <v>1763</v>
      </c>
      <c r="F705" t="str">
        <f>"201502000819"</f>
        <v>201502000819</v>
      </c>
      <c r="G705" t="s">
        <v>1764</v>
      </c>
      <c r="H705" t="s">
        <v>20</v>
      </c>
      <c r="I705">
        <v>1532</v>
      </c>
      <c r="J705" t="s">
        <v>21</v>
      </c>
      <c r="K705">
        <v>0</v>
      </c>
      <c r="L705" t="s">
        <v>35</v>
      </c>
      <c r="M705">
        <v>1133</v>
      </c>
    </row>
    <row r="706" spans="1:13">
      <c r="A706">
        <v>700</v>
      </c>
      <c r="B706">
        <v>86536</v>
      </c>
      <c r="C706" t="s">
        <v>1765</v>
      </c>
      <c r="D706" t="s">
        <v>1762</v>
      </c>
      <c r="E706" t="s">
        <v>1766</v>
      </c>
      <c r="F706" t="str">
        <f>"201502000827"</f>
        <v>201502000827</v>
      </c>
      <c r="G706" t="s">
        <v>1764</v>
      </c>
      <c r="H706" t="s">
        <v>20</v>
      </c>
      <c r="I706">
        <v>1532</v>
      </c>
      <c r="J706" t="s">
        <v>21</v>
      </c>
      <c r="K706">
        <v>0</v>
      </c>
      <c r="L706" t="s">
        <v>35</v>
      </c>
      <c r="M706">
        <v>1133</v>
      </c>
    </row>
    <row r="707" spans="1:13">
      <c r="A707">
        <v>701</v>
      </c>
      <c r="B707">
        <v>83898</v>
      </c>
      <c r="C707" t="s">
        <v>1767</v>
      </c>
      <c r="D707" t="s">
        <v>1768</v>
      </c>
      <c r="E707" t="s">
        <v>1769</v>
      </c>
      <c r="F707" t="str">
        <f>"00381662"</f>
        <v>00381662</v>
      </c>
      <c r="G707" t="s">
        <v>1764</v>
      </c>
      <c r="H707" t="s">
        <v>20</v>
      </c>
      <c r="I707">
        <v>1532</v>
      </c>
      <c r="J707" t="s">
        <v>21</v>
      </c>
      <c r="K707">
        <v>0</v>
      </c>
      <c r="M707">
        <v>1643</v>
      </c>
    </row>
    <row r="708" spans="1:13">
      <c r="A708">
        <v>702</v>
      </c>
      <c r="B708">
        <v>72025</v>
      </c>
      <c r="C708" t="s">
        <v>1770</v>
      </c>
      <c r="D708" t="s">
        <v>180</v>
      </c>
      <c r="E708" t="s">
        <v>1771</v>
      </c>
      <c r="F708" t="str">
        <f>"00405464"</f>
        <v>00405464</v>
      </c>
      <c r="G708" t="s">
        <v>1005</v>
      </c>
      <c r="H708" t="s">
        <v>1423</v>
      </c>
      <c r="I708">
        <v>1688</v>
      </c>
      <c r="J708" t="s">
        <v>21</v>
      </c>
      <c r="K708">
        <v>6</v>
      </c>
      <c r="L708" t="s">
        <v>35</v>
      </c>
      <c r="M708">
        <v>902</v>
      </c>
    </row>
    <row r="709" spans="1:13">
      <c r="A709">
        <v>703</v>
      </c>
      <c r="B709">
        <v>50242</v>
      </c>
      <c r="C709" t="s">
        <v>1772</v>
      </c>
      <c r="D709" t="s">
        <v>145</v>
      </c>
      <c r="E709" t="s">
        <v>1773</v>
      </c>
      <c r="F709" t="str">
        <f>"00366971"</f>
        <v>00366971</v>
      </c>
      <c r="G709" t="s">
        <v>994</v>
      </c>
      <c r="H709" t="s">
        <v>20</v>
      </c>
      <c r="I709">
        <v>1522</v>
      </c>
      <c r="J709" t="s">
        <v>21</v>
      </c>
      <c r="K709">
        <v>0</v>
      </c>
      <c r="M709">
        <v>1367</v>
      </c>
    </row>
    <row r="710" spans="1:13">
      <c r="A710">
        <v>704</v>
      </c>
      <c r="B710">
        <v>100562</v>
      </c>
      <c r="C710" t="s">
        <v>1774</v>
      </c>
      <c r="D710" t="s">
        <v>145</v>
      </c>
      <c r="E710" t="s">
        <v>1775</v>
      </c>
      <c r="F710" t="str">
        <f>"00396842"</f>
        <v>00396842</v>
      </c>
      <c r="G710" t="s">
        <v>125</v>
      </c>
      <c r="H710" t="s">
        <v>20</v>
      </c>
      <c r="I710">
        <v>1507</v>
      </c>
      <c r="J710" t="s">
        <v>21</v>
      </c>
      <c r="K710">
        <v>0</v>
      </c>
      <c r="M710">
        <v>1488</v>
      </c>
    </row>
    <row r="711" spans="1:13">
      <c r="A711">
        <v>705</v>
      </c>
      <c r="B711">
        <v>102948</v>
      </c>
      <c r="C711" t="s">
        <v>1776</v>
      </c>
      <c r="D711" t="s">
        <v>121</v>
      </c>
      <c r="E711" t="s">
        <v>1777</v>
      </c>
      <c r="F711" t="str">
        <f>"00396376"</f>
        <v>00396376</v>
      </c>
      <c r="G711" t="s">
        <v>1203</v>
      </c>
      <c r="H711" t="s">
        <v>20</v>
      </c>
      <c r="I711">
        <v>1443</v>
      </c>
      <c r="J711" t="s">
        <v>21</v>
      </c>
      <c r="K711">
        <v>0</v>
      </c>
      <c r="M711">
        <v>1426</v>
      </c>
    </row>
    <row r="712" spans="1:13">
      <c r="A712">
        <v>706</v>
      </c>
      <c r="B712">
        <v>79161</v>
      </c>
      <c r="C712" t="s">
        <v>1778</v>
      </c>
      <c r="D712" t="s">
        <v>205</v>
      </c>
      <c r="E712" t="s">
        <v>1779</v>
      </c>
      <c r="F712" t="str">
        <f>"00379014"</f>
        <v>00379014</v>
      </c>
      <c r="G712" t="s">
        <v>299</v>
      </c>
      <c r="H712" t="s">
        <v>20</v>
      </c>
      <c r="I712">
        <v>1490</v>
      </c>
      <c r="J712" t="s">
        <v>21</v>
      </c>
      <c r="K712">
        <v>0</v>
      </c>
      <c r="L712" t="s">
        <v>59</v>
      </c>
      <c r="M712">
        <v>828</v>
      </c>
    </row>
    <row r="713" spans="1:13">
      <c r="A713">
        <v>707</v>
      </c>
      <c r="B713">
        <v>103462</v>
      </c>
      <c r="C713" t="s">
        <v>1780</v>
      </c>
      <c r="D713" t="s">
        <v>180</v>
      </c>
      <c r="E713" t="s">
        <v>1781</v>
      </c>
      <c r="F713" t="str">
        <f>"201604005024"</f>
        <v>201604005024</v>
      </c>
      <c r="G713" t="s">
        <v>341</v>
      </c>
      <c r="H713" t="s">
        <v>20</v>
      </c>
      <c r="I713">
        <v>1553</v>
      </c>
      <c r="J713" t="s">
        <v>21</v>
      </c>
      <c r="K713">
        <v>6</v>
      </c>
      <c r="M713">
        <v>1291</v>
      </c>
    </row>
    <row r="714" spans="1:13">
      <c r="A714">
        <v>708</v>
      </c>
      <c r="B714">
        <v>93676</v>
      </c>
      <c r="C714" t="s">
        <v>1782</v>
      </c>
      <c r="D714" t="s">
        <v>243</v>
      </c>
      <c r="E714" t="s">
        <v>1783</v>
      </c>
      <c r="F714" t="str">
        <f>"00391862"</f>
        <v>00391862</v>
      </c>
      <c r="G714" t="s">
        <v>341</v>
      </c>
      <c r="H714" t="s">
        <v>20</v>
      </c>
      <c r="I714">
        <v>1553</v>
      </c>
      <c r="J714" t="s">
        <v>21</v>
      </c>
      <c r="K714">
        <v>6</v>
      </c>
      <c r="M714">
        <v>1328</v>
      </c>
    </row>
    <row r="715" spans="1:13">
      <c r="A715">
        <v>709</v>
      </c>
      <c r="B715">
        <v>103498</v>
      </c>
      <c r="C715" t="s">
        <v>1784</v>
      </c>
      <c r="D715" t="s">
        <v>218</v>
      </c>
      <c r="E715" t="s">
        <v>1785</v>
      </c>
      <c r="F715" t="str">
        <f>"00396684"</f>
        <v>00396684</v>
      </c>
      <c r="G715" t="s">
        <v>834</v>
      </c>
      <c r="H715" t="s">
        <v>20</v>
      </c>
      <c r="I715">
        <v>1416</v>
      </c>
      <c r="J715" t="s">
        <v>21</v>
      </c>
      <c r="K715">
        <v>0</v>
      </c>
      <c r="M715">
        <v>1528</v>
      </c>
    </row>
    <row r="716" spans="1:13">
      <c r="A716">
        <v>710</v>
      </c>
      <c r="B716">
        <v>72301</v>
      </c>
      <c r="C716" t="s">
        <v>1786</v>
      </c>
      <c r="D716" t="s">
        <v>109</v>
      </c>
      <c r="E716" t="s">
        <v>1787</v>
      </c>
      <c r="F716" t="str">
        <f>"00377865"</f>
        <v>00377865</v>
      </c>
      <c r="G716" t="s">
        <v>233</v>
      </c>
      <c r="H716" t="s">
        <v>234</v>
      </c>
      <c r="I716">
        <v>1339</v>
      </c>
      <c r="J716" t="s">
        <v>21</v>
      </c>
      <c r="K716">
        <v>6</v>
      </c>
      <c r="L716" t="s">
        <v>83</v>
      </c>
      <c r="M716">
        <v>888</v>
      </c>
    </row>
    <row r="717" spans="1:13">
      <c r="A717">
        <v>711</v>
      </c>
      <c r="B717">
        <v>104181</v>
      </c>
      <c r="C717" t="s">
        <v>1788</v>
      </c>
      <c r="D717" t="s">
        <v>145</v>
      </c>
      <c r="E717" t="s">
        <v>1789</v>
      </c>
      <c r="F717" t="str">
        <f>"00401790"</f>
        <v>00401790</v>
      </c>
      <c r="G717" t="s">
        <v>1005</v>
      </c>
      <c r="H717" t="s">
        <v>20</v>
      </c>
      <c r="I717">
        <v>1580</v>
      </c>
      <c r="J717" t="s">
        <v>21</v>
      </c>
      <c r="K717">
        <v>6</v>
      </c>
      <c r="M717">
        <v>1428</v>
      </c>
    </row>
    <row r="718" spans="1:13">
      <c r="A718">
        <v>712</v>
      </c>
      <c r="B718">
        <v>47287</v>
      </c>
      <c r="C718" t="s">
        <v>1790</v>
      </c>
      <c r="D718" t="s">
        <v>73</v>
      </c>
      <c r="E718" t="s">
        <v>1791</v>
      </c>
      <c r="F718" t="str">
        <f>"00148364"</f>
        <v>00148364</v>
      </c>
      <c r="G718" t="s">
        <v>1005</v>
      </c>
      <c r="H718" t="s">
        <v>1423</v>
      </c>
      <c r="I718">
        <v>1688</v>
      </c>
      <c r="J718" t="s">
        <v>21</v>
      </c>
      <c r="K718">
        <v>6</v>
      </c>
      <c r="M718">
        <v>1238</v>
      </c>
    </row>
    <row r="719" spans="1:13">
      <c r="A719">
        <v>713</v>
      </c>
      <c r="B719">
        <v>84156</v>
      </c>
      <c r="C719" t="s">
        <v>1792</v>
      </c>
      <c r="D719" t="s">
        <v>180</v>
      </c>
      <c r="E719" t="s">
        <v>1793</v>
      </c>
      <c r="F719" t="str">
        <f>"00382844"</f>
        <v>00382844</v>
      </c>
      <c r="G719" t="s">
        <v>63</v>
      </c>
      <c r="H719" t="s">
        <v>20</v>
      </c>
      <c r="I719">
        <v>1576</v>
      </c>
      <c r="J719" t="s">
        <v>21</v>
      </c>
      <c r="K719">
        <v>0</v>
      </c>
      <c r="L719" t="s">
        <v>35</v>
      </c>
      <c r="M719">
        <v>884</v>
      </c>
    </row>
    <row r="720" spans="1:13">
      <c r="A720">
        <v>714</v>
      </c>
      <c r="B720">
        <v>82653</v>
      </c>
      <c r="C720" t="s">
        <v>1794</v>
      </c>
      <c r="D720" t="s">
        <v>213</v>
      </c>
      <c r="E720" t="s">
        <v>1795</v>
      </c>
      <c r="F720" t="str">
        <f>"00393246"</f>
        <v>00393246</v>
      </c>
      <c r="G720" t="s">
        <v>107</v>
      </c>
      <c r="H720" t="s">
        <v>20</v>
      </c>
      <c r="I720">
        <v>1472</v>
      </c>
      <c r="J720" t="s">
        <v>21</v>
      </c>
      <c r="K720">
        <v>0</v>
      </c>
      <c r="L720" t="s">
        <v>83</v>
      </c>
      <c r="M720">
        <v>1228</v>
      </c>
    </row>
    <row r="721" spans="1:13">
      <c r="A721">
        <v>715</v>
      </c>
      <c r="B721">
        <v>80002</v>
      </c>
      <c r="C721" t="s">
        <v>1796</v>
      </c>
      <c r="D721" t="s">
        <v>105</v>
      </c>
      <c r="E721" t="s">
        <v>1797</v>
      </c>
      <c r="F721" t="str">
        <f>"00397072"</f>
        <v>00397072</v>
      </c>
      <c r="G721" t="s">
        <v>883</v>
      </c>
      <c r="H721" t="s">
        <v>270</v>
      </c>
      <c r="I721">
        <v>1585</v>
      </c>
      <c r="J721" t="s">
        <v>21</v>
      </c>
      <c r="K721">
        <v>0</v>
      </c>
      <c r="M721">
        <v>1408</v>
      </c>
    </row>
    <row r="722" spans="1:13">
      <c r="A722">
        <v>716</v>
      </c>
      <c r="B722">
        <v>79030</v>
      </c>
      <c r="C722" t="s">
        <v>1798</v>
      </c>
      <c r="D722" t="s">
        <v>90</v>
      </c>
      <c r="E722" t="s">
        <v>1799</v>
      </c>
      <c r="F722" t="str">
        <f>"00371535"</f>
        <v>00371535</v>
      </c>
      <c r="G722" t="s">
        <v>70</v>
      </c>
      <c r="H722" t="s">
        <v>1377</v>
      </c>
      <c r="I722">
        <v>1703</v>
      </c>
      <c r="J722" t="s">
        <v>21</v>
      </c>
      <c r="K722">
        <v>0</v>
      </c>
      <c r="M722">
        <v>1388</v>
      </c>
    </row>
    <row r="723" spans="1:13">
      <c r="A723">
        <v>717</v>
      </c>
      <c r="B723">
        <v>67235</v>
      </c>
      <c r="C723" t="s">
        <v>1800</v>
      </c>
      <c r="D723" t="s">
        <v>105</v>
      </c>
      <c r="E723" t="s">
        <v>1801</v>
      </c>
      <c r="F723" t="str">
        <f>"00374925"</f>
        <v>00374925</v>
      </c>
      <c r="G723" t="s">
        <v>47</v>
      </c>
      <c r="H723" t="s">
        <v>48</v>
      </c>
      <c r="I723">
        <v>1623</v>
      </c>
      <c r="J723" t="s">
        <v>21</v>
      </c>
      <c r="K723">
        <v>0</v>
      </c>
      <c r="M723">
        <v>1363</v>
      </c>
    </row>
    <row r="724" spans="1:13">
      <c r="A724">
        <v>718</v>
      </c>
      <c r="B724">
        <v>91893</v>
      </c>
      <c r="C724" t="s">
        <v>1802</v>
      </c>
      <c r="D724" t="s">
        <v>1803</v>
      </c>
      <c r="E724" t="s">
        <v>1804</v>
      </c>
      <c r="F724" t="str">
        <f>"00277587"</f>
        <v>00277587</v>
      </c>
      <c r="G724" t="s">
        <v>446</v>
      </c>
      <c r="H724" t="s">
        <v>137</v>
      </c>
      <c r="I724">
        <v>1602</v>
      </c>
      <c r="J724" t="s">
        <v>21</v>
      </c>
      <c r="K724">
        <v>0</v>
      </c>
      <c r="M724">
        <v>1488</v>
      </c>
    </row>
    <row r="725" spans="1:13">
      <c r="A725">
        <v>719</v>
      </c>
      <c r="B725">
        <v>67945</v>
      </c>
      <c r="C725" t="s">
        <v>1805</v>
      </c>
      <c r="D725" t="s">
        <v>153</v>
      </c>
      <c r="E725" t="s">
        <v>1806</v>
      </c>
      <c r="F725" t="str">
        <f>"00380519"</f>
        <v>00380519</v>
      </c>
      <c r="G725" t="s">
        <v>1155</v>
      </c>
      <c r="H725" t="s">
        <v>20</v>
      </c>
      <c r="I725">
        <v>1480</v>
      </c>
      <c r="J725" t="s">
        <v>21</v>
      </c>
      <c r="K725">
        <v>0</v>
      </c>
      <c r="L725" t="s">
        <v>35</v>
      </c>
      <c r="M725">
        <v>1091</v>
      </c>
    </row>
    <row r="726" spans="1:13">
      <c r="A726">
        <v>720</v>
      </c>
      <c r="B726">
        <v>112721</v>
      </c>
      <c r="C726" t="s">
        <v>1807</v>
      </c>
      <c r="D726" t="s">
        <v>1808</v>
      </c>
      <c r="E726" t="s">
        <v>1809</v>
      </c>
      <c r="F726" t="str">
        <f>"00387431"</f>
        <v>00387431</v>
      </c>
      <c r="G726" t="s">
        <v>96</v>
      </c>
      <c r="H726" t="s">
        <v>20</v>
      </c>
      <c r="I726">
        <v>1474</v>
      </c>
      <c r="J726" t="s">
        <v>21</v>
      </c>
      <c r="K726">
        <v>0</v>
      </c>
      <c r="M726">
        <v>1528</v>
      </c>
    </row>
    <row r="727" spans="1:13">
      <c r="A727">
        <v>721</v>
      </c>
      <c r="B727">
        <v>71435</v>
      </c>
      <c r="C727" t="s">
        <v>1810</v>
      </c>
      <c r="D727" t="s">
        <v>105</v>
      </c>
      <c r="E727" t="s">
        <v>1811</v>
      </c>
      <c r="F727" t="str">
        <f>"00260347"</f>
        <v>00260347</v>
      </c>
      <c r="G727" t="s">
        <v>125</v>
      </c>
      <c r="H727" t="s">
        <v>20</v>
      </c>
      <c r="I727">
        <v>1507</v>
      </c>
      <c r="J727" t="s">
        <v>21</v>
      </c>
      <c r="K727">
        <v>0</v>
      </c>
      <c r="M727">
        <v>1788</v>
      </c>
    </row>
    <row r="728" spans="1:13">
      <c r="A728">
        <v>722</v>
      </c>
      <c r="B728">
        <v>74804</v>
      </c>
      <c r="C728" t="s">
        <v>1812</v>
      </c>
      <c r="D728" t="s">
        <v>85</v>
      </c>
      <c r="E728" t="s">
        <v>1813</v>
      </c>
      <c r="F728" t="str">
        <f>"00234947"</f>
        <v>00234947</v>
      </c>
      <c r="G728" t="s">
        <v>170</v>
      </c>
      <c r="H728" t="s">
        <v>20</v>
      </c>
      <c r="I728">
        <v>1412</v>
      </c>
      <c r="J728" t="s">
        <v>21</v>
      </c>
      <c r="K728">
        <v>0</v>
      </c>
      <c r="L728" t="s">
        <v>59</v>
      </c>
      <c r="M728">
        <v>788</v>
      </c>
    </row>
    <row r="729" spans="1:13">
      <c r="A729">
        <v>723</v>
      </c>
      <c r="B729">
        <v>99432</v>
      </c>
      <c r="C729" t="s">
        <v>1814</v>
      </c>
      <c r="D729" t="s">
        <v>130</v>
      </c>
      <c r="E729" t="s">
        <v>1815</v>
      </c>
      <c r="F729" t="str">
        <f>"00381035"</f>
        <v>00381035</v>
      </c>
      <c r="G729" t="s">
        <v>258</v>
      </c>
      <c r="H729" t="s">
        <v>20</v>
      </c>
      <c r="I729">
        <v>1484</v>
      </c>
      <c r="J729" t="s">
        <v>21</v>
      </c>
      <c r="K729">
        <v>0</v>
      </c>
      <c r="M729">
        <v>1328</v>
      </c>
    </row>
    <row r="730" spans="1:13">
      <c r="A730">
        <v>724</v>
      </c>
      <c r="B730">
        <v>103839</v>
      </c>
      <c r="C730" t="s">
        <v>1816</v>
      </c>
      <c r="D730" t="s">
        <v>153</v>
      </c>
      <c r="E730" t="s">
        <v>1817</v>
      </c>
      <c r="F730" t="str">
        <f>"00386293"</f>
        <v>00386293</v>
      </c>
      <c r="G730" t="s">
        <v>178</v>
      </c>
      <c r="H730" t="s">
        <v>20</v>
      </c>
      <c r="I730">
        <v>1519</v>
      </c>
      <c r="J730" t="s">
        <v>21</v>
      </c>
      <c r="K730">
        <v>0</v>
      </c>
      <c r="M730">
        <v>1408</v>
      </c>
    </row>
    <row r="731" spans="1:13">
      <c r="A731">
        <v>725</v>
      </c>
      <c r="B731">
        <v>107343</v>
      </c>
      <c r="C731" t="s">
        <v>1818</v>
      </c>
      <c r="D731" t="s">
        <v>198</v>
      </c>
      <c r="E731" t="s">
        <v>1819</v>
      </c>
      <c r="F731" t="str">
        <f>"00418584"</f>
        <v>00418584</v>
      </c>
      <c r="G731" t="s">
        <v>600</v>
      </c>
      <c r="H731" t="s">
        <v>1820</v>
      </c>
      <c r="I731">
        <v>1721</v>
      </c>
      <c r="J731" t="s">
        <v>21</v>
      </c>
      <c r="K731">
        <v>0</v>
      </c>
      <c r="L731" t="s">
        <v>59</v>
      </c>
      <c r="M731">
        <v>1088</v>
      </c>
    </row>
    <row r="732" spans="1:13">
      <c r="A732">
        <v>726</v>
      </c>
      <c r="B732">
        <v>60338</v>
      </c>
      <c r="C732" t="s">
        <v>1821</v>
      </c>
      <c r="D732" t="s">
        <v>105</v>
      </c>
      <c r="E732" t="s">
        <v>1822</v>
      </c>
      <c r="F732" t="str">
        <f>"00045374"</f>
        <v>00045374</v>
      </c>
      <c r="G732" t="s">
        <v>147</v>
      </c>
      <c r="H732" t="s">
        <v>20</v>
      </c>
      <c r="I732">
        <v>1529</v>
      </c>
      <c r="J732" t="s">
        <v>21</v>
      </c>
      <c r="K732">
        <v>0</v>
      </c>
      <c r="M732">
        <v>1438</v>
      </c>
    </row>
    <row r="733" spans="1:13">
      <c r="A733">
        <v>727</v>
      </c>
      <c r="B733">
        <v>65273</v>
      </c>
      <c r="C733" t="s">
        <v>1823</v>
      </c>
      <c r="D733" t="s">
        <v>121</v>
      </c>
      <c r="E733" t="s">
        <v>1824</v>
      </c>
      <c r="F733" t="str">
        <f>"00324709"</f>
        <v>00324709</v>
      </c>
      <c r="G733" t="s">
        <v>47</v>
      </c>
      <c r="H733" t="s">
        <v>48</v>
      </c>
      <c r="I733">
        <v>1623</v>
      </c>
      <c r="J733" t="s">
        <v>21</v>
      </c>
      <c r="K733">
        <v>0</v>
      </c>
      <c r="L733" t="s">
        <v>35</v>
      </c>
      <c r="M733">
        <v>1175</v>
      </c>
    </row>
    <row r="734" spans="1:13">
      <c r="A734">
        <v>728</v>
      </c>
      <c r="B734">
        <v>93483</v>
      </c>
      <c r="C734" t="s">
        <v>1825</v>
      </c>
      <c r="D734" t="s">
        <v>80</v>
      </c>
      <c r="E734" t="s">
        <v>1826</v>
      </c>
      <c r="F734" t="str">
        <f>"00405110"</f>
        <v>00405110</v>
      </c>
      <c r="G734" t="s">
        <v>294</v>
      </c>
      <c r="H734" t="s">
        <v>1827</v>
      </c>
      <c r="I734">
        <v>1700</v>
      </c>
      <c r="J734" t="s">
        <v>21</v>
      </c>
      <c r="K734">
        <v>0</v>
      </c>
      <c r="L734" t="s">
        <v>35</v>
      </c>
      <c r="M734">
        <v>1075</v>
      </c>
    </row>
    <row r="735" spans="1:13">
      <c r="A735">
        <v>729</v>
      </c>
      <c r="B735">
        <v>53498</v>
      </c>
      <c r="C735" t="s">
        <v>1828</v>
      </c>
      <c r="D735" t="s">
        <v>105</v>
      </c>
      <c r="E735" t="s">
        <v>1829</v>
      </c>
      <c r="F735" t="str">
        <f>"00364077"</f>
        <v>00364077</v>
      </c>
      <c r="G735" t="s">
        <v>1830</v>
      </c>
      <c r="H735" t="s">
        <v>137</v>
      </c>
      <c r="I735">
        <v>1609</v>
      </c>
      <c r="J735" t="s">
        <v>21</v>
      </c>
      <c r="K735">
        <v>0</v>
      </c>
      <c r="M735">
        <v>1358</v>
      </c>
    </row>
    <row r="736" spans="1:13">
      <c r="A736">
        <v>730</v>
      </c>
      <c r="B736">
        <v>104619</v>
      </c>
      <c r="C736" t="s">
        <v>1828</v>
      </c>
      <c r="D736" t="s">
        <v>130</v>
      </c>
      <c r="E736" t="s">
        <v>1831</v>
      </c>
      <c r="F736" t="str">
        <f>"00391874"</f>
        <v>00391874</v>
      </c>
      <c r="G736" t="s">
        <v>107</v>
      </c>
      <c r="H736" t="s">
        <v>20</v>
      </c>
      <c r="I736">
        <v>1472</v>
      </c>
      <c r="J736" t="s">
        <v>21</v>
      </c>
      <c r="K736">
        <v>0</v>
      </c>
      <c r="L736" t="s">
        <v>112</v>
      </c>
      <c r="M736">
        <v>808</v>
      </c>
    </row>
    <row r="737" spans="1:13">
      <c r="A737">
        <v>731</v>
      </c>
      <c r="B737">
        <v>58962</v>
      </c>
      <c r="C737" t="s">
        <v>1832</v>
      </c>
      <c r="D737" t="s">
        <v>105</v>
      </c>
      <c r="E737" t="s">
        <v>1833</v>
      </c>
      <c r="F737" t="str">
        <f>"00234668"</f>
        <v>00234668</v>
      </c>
      <c r="G737" t="s">
        <v>38</v>
      </c>
      <c r="H737" t="s">
        <v>39</v>
      </c>
      <c r="I737">
        <v>1634</v>
      </c>
      <c r="J737" t="s">
        <v>21</v>
      </c>
      <c r="K737">
        <v>0</v>
      </c>
      <c r="L737" t="s">
        <v>88</v>
      </c>
      <c r="M737">
        <v>400</v>
      </c>
    </row>
    <row r="738" spans="1:13">
      <c r="A738">
        <v>732</v>
      </c>
      <c r="B738">
        <v>66370</v>
      </c>
      <c r="C738" t="s">
        <v>1834</v>
      </c>
      <c r="D738" t="s">
        <v>243</v>
      </c>
      <c r="E738" t="s">
        <v>1835</v>
      </c>
      <c r="F738" t="str">
        <f>"201604002845"</f>
        <v>201604002845</v>
      </c>
      <c r="G738" t="s">
        <v>19</v>
      </c>
      <c r="H738" t="s">
        <v>20</v>
      </c>
      <c r="I738">
        <v>1531</v>
      </c>
      <c r="J738" t="s">
        <v>21</v>
      </c>
      <c r="K738">
        <v>0</v>
      </c>
      <c r="L738" t="s">
        <v>35</v>
      </c>
      <c r="M738">
        <v>900</v>
      </c>
    </row>
    <row r="739" spans="1:13">
      <c r="A739">
        <v>733</v>
      </c>
      <c r="B739">
        <v>116885</v>
      </c>
      <c r="C739" t="s">
        <v>1836</v>
      </c>
      <c r="D739" t="s">
        <v>76</v>
      </c>
      <c r="E739" t="s">
        <v>1837</v>
      </c>
      <c r="F739" t="str">
        <f>"00417522"</f>
        <v>00417522</v>
      </c>
      <c r="G739" t="s">
        <v>488</v>
      </c>
      <c r="H739" t="s">
        <v>20</v>
      </c>
      <c r="I739">
        <v>1482</v>
      </c>
      <c r="J739" t="s">
        <v>21</v>
      </c>
      <c r="K739">
        <v>0</v>
      </c>
      <c r="L739" t="s">
        <v>35</v>
      </c>
      <c r="M739">
        <v>908</v>
      </c>
    </row>
    <row r="740" spans="1:13">
      <c r="A740">
        <v>734</v>
      </c>
      <c r="B740">
        <v>107764</v>
      </c>
      <c r="C740" t="s">
        <v>1838</v>
      </c>
      <c r="D740" t="s">
        <v>198</v>
      </c>
      <c r="E740" t="s">
        <v>1839</v>
      </c>
      <c r="F740" t="str">
        <f>"00271163"</f>
        <v>00271163</v>
      </c>
      <c r="G740" t="s">
        <v>1084</v>
      </c>
      <c r="H740" t="s">
        <v>1085</v>
      </c>
      <c r="I740">
        <v>1588</v>
      </c>
      <c r="J740" t="s">
        <v>21</v>
      </c>
      <c r="K740">
        <v>0</v>
      </c>
      <c r="M740">
        <v>1768</v>
      </c>
    </row>
    <row r="741" spans="1:13">
      <c r="A741">
        <v>735</v>
      </c>
      <c r="B741">
        <v>69250</v>
      </c>
      <c r="C741" t="s">
        <v>1840</v>
      </c>
      <c r="D741" t="s">
        <v>80</v>
      </c>
      <c r="E741" t="s">
        <v>1841</v>
      </c>
      <c r="F741" t="str">
        <f>"00372699"</f>
        <v>00372699</v>
      </c>
      <c r="G741" t="s">
        <v>1842</v>
      </c>
      <c r="H741" t="s">
        <v>1843</v>
      </c>
      <c r="I741">
        <v>1356</v>
      </c>
      <c r="J741" t="s">
        <v>21</v>
      </c>
      <c r="K741">
        <v>0</v>
      </c>
      <c r="M741">
        <v>2128</v>
      </c>
    </row>
    <row r="742" spans="1:13">
      <c r="A742">
        <v>736</v>
      </c>
      <c r="B742">
        <v>110657</v>
      </c>
      <c r="C742" t="s">
        <v>1844</v>
      </c>
      <c r="D742" t="s">
        <v>243</v>
      </c>
      <c r="E742" t="s">
        <v>1845</v>
      </c>
      <c r="F742" t="str">
        <f>"00417331"</f>
        <v>00417331</v>
      </c>
      <c r="G742" t="s">
        <v>107</v>
      </c>
      <c r="H742" t="s">
        <v>20</v>
      </c>
      <c r="I742">
        <v>1472</v>
      </c>
      <c r="J742" t="s">
        <v>21</v>
      </c>
      <c r="K742">
        <v>0</v>
      </c>
      <c r="L742" t="s">
        <v>88</v>
      </c>
      <c r="M742">
        <v>600</v>
      </c>
    </row>
    <row r="743" spans="1:13">
      <c r="A743">
        <v>737</v>
      </c>
      <c r="B743">
        <v>86431</v>
      </c>
      <c r="C743" t="s">
        <v>1846</v>
      </c>
      <c r="D743" t="s">
        <v>102</v>
      </c>
      <c r="E743" t="s">
        <v>1847</v>
      </c>
      <c r="F743" t="str">
        <f>"00021500"</f>
        <v>00021500</v>
      </c>
      <c r="G743" t="s">
        <v>395</v>
      </c>
      <c r="H743" t="s">
        <v>234</v>
      </c>
      <c r="I743">
        <v>1336</v>
      </c>
      <c r="J743" t="s">
        <v>21</v>
      </c>
      <c r="K743">
        <v>0</v>
      </c>
      <c r="L743" t="s">
        <v>83</v>
      </c>
      <c r="M743">
        <v>1228</v>
      </c>
    </row>
    <row r="744" spans="1:13">
      <c r="A744">
        <v>738</v>
      </c>
      <c r="B744">
        <v>84462</v>
      </c>
      <c r="C744" t="s">
        <v>1848</v>
      </c>
      <c r="D744" t="s">
        <v>145</v>
      </c>
      <c r="E744" t="s">
        <v>1849</v>
      </c>
      <c r="F744" t="str">
        <f>"201511023994"</f>
        <v>201511023994</v>
      </c>
      <c r="G744" t="s">
        <v>1695</v>
      </c>
      <c r="H744" t="s">
        <v>20</v>
      </c>
      <c r="I744">
        <v>1533</v>
      </c>
      <c r="J744" t="s">
        <v>21</v>
      </c>
      <c r="K744">
        <v>0</v>
      </c>
      <c r="L744" t="s">
        <v>112</v>
      </c>
      <c r="M744">
        <v>808</v>
      </c>
    </row>
    <row r="745" spans="1:13">
      <c r="A745">
        <v>739</v>
      </c>
      <c r="B745">
        <v>72705</v>
      </c>
      <c r="C745" t="s">
        <v>1850</v>
      </c>
      <c r="D745" t="s">
        <v>85</v>
      </c>
      <c r="E745" t="s">
        <v>1851</v>
      </c>
      <c r="F745" t="str">
        <f>"00158449"</f>
        <v>00158449</v>
      </c>
      <c r="G745" t="s">
        <v>150</v>
      </c>
      <c r="H745" t="s">
        <v>151</v>
      </c>
      <c r="I745">
        <v>1699</v>
      </c>
      <c r="J745" t="s">
        <v>21</v>
      </c>
      <c r="K745">
        <v>0</v>
      </c>
      <c r="L745" t="s">
        <v>59</v>
      </c>
      <c r="M745">
        <v>818</v>
      </c>
    </row>
    <row r="746" spans="1:13">
      <c r="A746">
        <v>740</v>
      </c>
      <c r="B746">
        <v>110589</v>
      </c>
      <c r="C746" t="s">
        <v>1852</v>
      </c>
      <c r="D746" t="s">
        <v>76</v>
      </c>
      <c r="E746" t="s">
        <v>1853</v>
      </c>
      <c r="F746" t="str">
        <f>"00418724"</f>
        <v>00418724</v>
      </c>
      <c r="G746" t="s">
        <v>709</v>
      </c>
      <c r="H746" t="s">
        <v>20</v>
      </c>
      <c r="I746">
        <v>1413</v>
      </c>
      <c r="J746" t="s">
        <v>21</v>
      </c>
      <c r="K746">
        <v>0</v>
      </c>
      <c r="L746" t="s">
        <v>59</v>
      </c>
      <c r="M746">
        <v>970</v>
      </c>
    </row>
    <row r="747" spans="1:13">
      <c r="A747">
        <v>741</v>
      </c>
      <c r="B747">
        <v>48519</v>
      </c>
      <c r="C747" t="s">
        <v>1854</v>
      </c>
      <c r="D747" t="s">
        <v>243</v>
      </c>
      <c r="E747" t="s">
        <v>1855</v>
      </c>
      <c r="F747" t="str">
        <f>"00357233"</f>
        <v>00357233</v>
      </c>
      <c r="G747" t="s">
        <v>834</v>
      </c>
      <c r="H747" t="s">
        <v>20</v>
      </c>
      <c r="I747">
        <v>1416</v>
      </c>
      <c r="J747" t="s">
        <v>21</v>
      </c>
      <c r="K747">
        <v>0</v>
      </c>
      <c r="L747" t="s">
        <v>35</v>
      </c>
      <c r="M747">
        <v>925</v>
      </c>
    </row>
    <row r="748" spans="1:13">
      <c r="A748">
        <v>742</v>
      </c>
      <c r="B748">
        <v>60182</v>
      </c>
      <c r="C748" t="s">
        <v>1856</v>
      </c>
      <c r="D748" t="s">
        <v>209</v>
      </c>
      <c r="E748" t="s">
        <v>1857</v>
      </c>
      <c r="F748" t="str">
        <f>"00294375"</f>
        <v>00294375</v>
      </c>
      <c r="G748" t="s">
        <v>1858</v>
      </c>
      <c r="H748" t="s">
        <v>20</v>
      </c>
      <c r="I748">
        <v>1456</v>
      </c>
      <c r="J748" t="s">
        <v>21</v>
      </c>
      <c r="K748">
        <v>6</v>
      </c>
      <c r="L748" t="s">
        <v>35</v>
      </c>
      <c r="M748">
        <v>1000</v>
      </c>
    </row>
    <row r="749" spans="1:13">
      <c r="A749">
        <v>743</v>
      </c>
      <c r="B749">
        <v>60506</v>
      </c>
      <c r="C749" t="s">
        <v>1859</v>
      </c>
      <c r="D749" t="s">
        <v>130</v>
      </c>
      <c r="E749" t="s">
        <v>1860</v>
      </c>
      <c r="F749" t="str">
        <f>"00354067"</f>
        <v>00354067</v>
      </c>
      <c r="G749" t="s">
        <v>38</v>
      </c>
      <c r="H749" t="s">
        <v>39</v>
      </c>
      <c r="I749">
        <v>1634</v>
      </c>
      <c r="J749" t="s">
        <v>21</v>
      </c>
      <c r="K749">
        <v>6</v>
      </c>
      <c r="M749">
        <v>1239</v>
      </c>
    </row>
    <row r="750" spans="1:13">
      <c r="A750">
        <v>744</v>
      </c>
      <c r="B750">
        <v>116745</v>
      </c>
      <c r="C750" t="s">
        <v>1861</v>
      </c>
      <c r="D750" t="s">
        <v>243</v>
      </c>
      <c r="E750" t="s">
        <v>1862</v>
      </c>
      <c r="F750" t="str">
        <f>"00417381"</f>
        <v>00417381</v>
      </c>
      <c r="G750" t="s">
        <v>709</v>
      </c>
      <c r="H750" t="s">
        <v>20</v>
      </c>
      <c r="I750">
        <v>1413</v>
      </c>
      <c r="J750" t="s">
        <v>21</v>
      </c>
      <c r="K750">
        <v>0</v>
      </c>
      <c r="M750">
        <v>1313</v>
      </c>
    </row>
    <row r="751" spans="1:13">
      <c r="A751">
        <v>745</v>
      </c>
      <c r="B751">
        <v>115713</v>
      </c>
      <c r="C751" t="s">
        <v>1863</v>
      </c>
      <c r="D751" t="s">
        <v>145</v>
      </c>
      <c r="E751" t="s">
        <v>1864</v>
      </c>
      <c r="F751" t="str">
        <f>"00299219"</f>
        <v>00299219</v>
      </c>
      <c r="G751" t="s">
        <v>245</v>
      </c>
      <c r="H751" t="s">
        <v>20</v>
      </c>
      <c r="I751">
        <v>1406</v>
      </c>
      <c r="J751" t="s">
        <v>21</v>
      </c>
      <c r="K751">
        <v>0</v>
      </c>
      <c r="M751">
        <v>1363</v>
      </c>
    </row>
    <row r="752" spans="1:13">
      <c r="A752">
        <v>746</v>
      </c>
      <c r="B752">
        <v>51883</v>
      </c>
      <c r="C752" t="s">
        <v>1865</v>
      </c>
      <c r="D752" t="s">
        <v>90</v>
      </c>
      <c r="E752" t="s">
        <v>1866</v>
      </c>
      <c r="F752" t="str">
        <f>"00359097"</f>
        <v>00359097</v>
      </c>
      <c r="G752" t="s">
        <v>47</v>
      </c>
      <c r="H752" t="s">
        <v>48</v>
      </c>
      <c r="I752">
        <v>1623</v>
      </c>
      <c r="J752" t="s">
        <v>21</v>
      </c>
      <c r="K752">
        <v>0</v>
      </c>
      <c r="M752">
        <v>1338</v>
      </c>
    </row>
    <row r="753" spans="1:13">
      <c r="A753">
        <v>747</v>
      </c>
      <c r="B753">
        <v>79431</v>
      </c>
      <c r="C753" t="s">
        <v>1867</v>
      </c>
      <c r="D753" t="s">
        <v>198</v>
      </c>
      <c r="E753" t="s">
        <v>1868</v>
      </c>
      <c r="F753" t="str">
        <f>"00385535"</f>
        <v>00385535</v>
      </c>
      <c r="G753" t="s">
        <v>1869</v>
      </c>
      <c r="H753" t="s">
        <v>1631</v>
      </c>
      <c r="I753">
        <v>1374</v>
      </c>
      <c r="J753" t="s">
        <v>21</v>
      </c>
      <c r="K753">
        <v>0</v>
      </c>
      <c r="L753" t="s">
        <v>35</v>
      </c>
      <c r="M753">
        <v>1400</v>
      </c>
    </row>
    <row r="754" spans="1:13">
      <c r="A754">
        <v>748</v>
      </c>
      <c r="B754">
        <v>115398</v>
      </c>
      <c r="C754" t="s">
        <v>1870</v>
      </c>
      <c r="D754" t="s">
        <v>180</v>
      </c>
      <c r="E754" t="s">
        <v>1871</v>
      </c>
      <c r="F754" t="str">
        <f>"00393643"</f>
        <v>00393643</v>
      </c>
      <c r="G754" t="s">
        <v>1226</v>
      </c>
      <c r="H754" t="s">
        <v>137</v>
      </c>
      <c r="I754">
        <v>1607</v>
      </c>
      <c r="J754" t="s">
        <v>21</v>
      </c>
      <c r="K754">
        <v>0</v>
      </c>
      <c r="L754" t="s">
        <v>35</v>
      </c>
      <c r="M754">
        <v>1125</v>
      </c>
    </row>
    <row r="755" spans="1:13">
      <c r="A755">
        <v>749</v>
      </c>
      <c r="B755">
        <v>105381</v>
      </c>
      <c r="C755" t="s">
        <v>1872</v>
      </c>
      <c r="D755" t="s">
        <v>153</v>
      </c>
      <c r="E755" t="s">
        <v>1873</v>
      </c>
      <c r="F755" t="str">
        <f>"00389264"</f>
        <v>00389264</v>
      </c>
      <c r="G755" t="s">
        <v>371</v>
      </c>
      <c r="H755" t="s">
        <v>20</v>
      </c>
      <c r="I755">
        <v>1526</v>
      </c>
      <c r="J755" t="s">
        <v>21</v>
      </c>
      <c r="K755">
        <v>6</v>
      </c>
      <c r="M755">
        <v>1128</v>
      </c>
    </row>
    <row r="756" spans="1:13">
      <c r="A756">
        <v>750</v>
      </c>
      <c r="B756">
        <v>52479</v>
      </c>
      <c r="C756" t="s">
        <v>1874</v>
      </c>
      <c r="D756" t="s">
        <v>76</v>
      </c>
      <c r="E756" t="s">
        <v>1875</v>
      </c>
      <c r="F756" t="str">
        <f>"00073787"</f>
        <v>00073787</v>
      </c>
      <c r="G756" t="s">
        <v>47</v>
      </c>
      <c r="H756" t="s">
        <v>48</v>
      </c>
      <c r="I756">
        <v>1623</v>
      </c>
      <c r="J756" t="s">
        <v>21</v>
      </c>
      <c r="K756">
        <v>0</v>
      </c>
      <c r="M756">
        <v>1343</v>
      </c>
    </row>
    <row r="757" spans="1:13">
      <c r="A757">
        <v>751</v>
      </c>
      <c r="B757">
        <v>116583</v>
      </c>
      <c r="C757" t="s">
        <v>1876</v>
      </c>
      <c r="D757" t="s">
        <v>105</v>
      </c>
      <c r="E757" t="s">
        <v>1877</v>
      </c>
      <c r="F757" t="str">
        <f>"00419604"</f>
        <v>00419604</v>
      </c>
      <c r="G757" t="s">
        <v>107</v>
      </c>
      <c r="H757" t="s">
        <v>20</v>
      </c>
      <c r="I757">
        <v>1472</v>
      </c>
      <c r="J757" t="s">
        <v>21</v>
      </c>
      <c r="K757">
        <v>0</v>
      </c>
      <c r="M757">
        <v>1488</v>
      </c>
    </row>
    <row r="758" spans="1:13">
      <c r="A758">
        <v>752</v>
      </c>
      <c r="B758">
        <v>106603</v>
      </c>
      <c r="C758" t="s">
        <v>1878</v>
      </c>
      <c r="D758" t="s">
        <v>1879</v>
      </c>
      <c r="E758" t="s">
        <v>1880</v>
      </c>
      <c r="F758" t="str">
        <f>"00070474"</f>
        <v>00070474</v>
      </c>
      <c r="G758" t="s">
        <v>610</v>
      </c>
      <c r="H758" t="s">
        <v>20</v>
      </c>
      <c r="I758">
        <v>1429</v>
      </c>
      <c r="J758" t="s">
        <v>21</v>
      </c>
      <c r="K758">
        <v>0</v>
      </c>
      <c r="L758" t="s">
        <v>35</v>
      </c>
      <c r="M758">
        <v>908</v>
      </c>
    </row>
    <row r="759" spans="1:13">
      <c r="A759">
        <v>753</v>
      </c>
      <c r="B759">
        <v>97972</v>
      </c>
      <c r="C759" t="s">
        <v>1881</v>
      </c>
      <c r="D759" t="s">
        <v>121</v>
      </c>
      <c r="E759" t="s">
        <v>1882</v>
      </c>
      <c r="F759" t="str">
        <f>"00373238"</f>
        <v>00373238</v>
      </c>
      <c r="G759" t="s">
        <v>1883</v>
      </c>
      <c r="H759" t="s">
        <v>20</v>
      </c>
      <c r="I759">
        <v>1541</v>
      </c>
      <c r="J759" t="s">
        <v>21</v>
      </c>
      <c r="K759">
        <v>6</v>
      </c>
      <c r="L759" t="s">
        <v>35</v>
      </c>
      <c r="M759">
        <v>1208</v>
      </c>
    </row>
    <row r="760" spans="1:13">
      <c r="A760">
        <v>754</v>
      </c>
      <c r="B760">
        <v>66623</v>
      </c>
      <c r="C760" t="s">
        <v>1884</v>
      </c>
      <c r="D760" t="s">
        <v>80</v>
      </c>
      <c r="E760" t="s">
        <v>1885</v>
      </c>
      <c r="F760" t="str">
        <f>"00365784"</f>
        <v>00365784</v>
      </c>
      <c r="G760" t="s">
        <v>150</v>
      </c>
      <c r="H760" t="s">
        <v>151</v>
      </c>
      <c r="I760">
        <v>1699</v>
      </c>
      <c r="J760" t="s">
        <v>21</v>
      </c>
      <c r="K760">
        <v>0</v>
      </c>
      <c r="L760" t="s">
        <v>59</v>
      </c>
      <c r="M760">
        <v>821</v>
      </c>
    </row>
    <row r="761" spans="1:13">
      <c r="A761">
        <v>755</v>
      </c>
      <c r="B761">
        <v>89096</v>
      </c>
      <c r="C761" t="s">
        <v>1886</v>
      </c>
      <c r="D761" t="s">
        <v>76</v>
      </c>
      <c r="E761" t="s">
        <v>1887</v>
      </c>
      <c r="F761" t="str">
        <f>"00281389"</f>
        <v>00281389</v>
      </c>
      <c r="G761" t="s">
        <v>459</v>
      </c>
      <c r="H761" t="s">
        <v>20</v>
      </c>
      <c r="I761">
        <v>1485</v>
      </c>
      <c r="J761" t="s">
        <v>21</v>
      </c>
      <c r="K761">
        <v>6</v>
      </c>
      <c r="M761">
        <v>1588</v>
      </c>
    </row>
    <row r="762" spans="1:13">
      <c r="A762">
        <v>756</v>
      </c>
      <c r="B762">
        <v>72608</v>
      </c>
      <c r="C762" t="s">
        <v>1888</v>
      </c>
      <c r="D762" t="s">
        <v>145</v>
      </c>
      <c r="E762" t="s">
        <v>1889</v>
      </c>
      <c r="F762" t="str">
        <f>"00270902"</f>
        <v>00270902</v>
      </c>
      <c r="G762" t="s">
        <v>1890</v>
      </c>
      <c r="H762" t="s">
        <v>1891</v>
      </c>
      <c r="I762">
        <v>1671</v>
      </c>
      <c r="J762" t="s">
        <v>21</v>
      </c>
      <c r="K762">
        <v>0</v>
      </c>
      <c r="L762" t="s">
        <v>35</v>
      </c>
      <c r="M762">
        <v>958</v>
      </c>
    </row>
    <row r="763" spans="1:13">
      <c r="A763">
        <v>757</v>
      </c>
      <c r="B763">
        <v>110438</v>
      </c>
      <c r="C763" t="s">
        <v>1892</v>
      </c>
      <c r="D763" t="s">
        <v>109</v>
      </c>
      <c r="E763" t="s">
        <v>1893</v>
      </c>
      <c r="F763" t="str">
        <f>"00253117"</f>
        <v>00253117</v>
      </c>
      <c r="G763" t="s">
        <v>111</v>
      </c>
      <c r="H763" t="s">
        <v>48</v>
      </c>
      <c r="I763">
        <v>1620</v>
      </c>
      <c r="J763" t="s">
        <v>21</v>
      </c>
      <c r="K763">
        <v>0</v>
      </c>
      <c r="L763" t="s">
        <v>35</v>
      </c>
      <c r="M763">
        <v>885</v>
      </c>
    </row>
    <row r="764" spans="1:13">
      <c r="A764">
        <v>758</v>
      </c>
      <c r="B764">
        <v>65750</v>
      </c>
      <c r="C764" t="s">
        <v>1894</v>
      </c>
      <c r="D764" t="s">
        <v>198</v>
      </c>
      <c r="E764" t="s">
        <v>1895</v>
      </c>
      <c r="F764" t="str">
        <f>"00353442"</f>
        <v>00353442</v>
      </c>
      <c r="G764" t="s">
        <v>47</v>
      </c>
      <c r="H764" t="s">
        <v>48</v>
      </c>
      <c r="I764">
        <v>1623</v>
      </c>
      <c r="J764" t="s">
        <v>21</v>
      </c>
      <c r="K764">
        <v>0</v>
      </c>
      <c r="M764">
        <v>1650</v>
      </c>
    </row>
    <row r="765" spans="1:13">
      <c r="A765">
        <v>759</v>
      </c>
      <c r="B765">
        <v>71479</v>
      </c>
      <c r="C765" t="s">
        <v>1896</v>
      </c>
      <c r="D765" t="s">
        <v>1897</v>
      </c>
      <c r="E765" t="s">
        <v>1898</v>
      </c>
      <c r="F765" t="str">
        <f>"00377555"</f>
        <v>00377555</v>
      </c>
      <c r="G765" t="s">
        <v>170</v>
      </c>
      <c r="H765" t="s">
        <v>20</v>
      </c>
      <c r="I765">
        <v>1412</v>
      </c>
      <c r="J765" t="s">
        <v>21</v>
      </c>
      <c r="K765">
        <v>0</v>
      </c>
      <c r="M765">
        <v>1363</v>
      </c>
    </row>
    <row r="766" spans="1:13">
      <c r="A766">
        <v>760</v>
      </c>
      <c r="B766">
        <v>116423</v>
      </c>
      <c r="C766" t="s">
        <v>1899</v>
      </c>
      <c r="D766" t="s">
        <v>243</v>
      </c>
      <c r="E766" t="s">
        <v>1900</v>
      </c>
      <c r="F766" t="str">
        <f>"00423076"</f>
        <v>00423076</v>
      </c>
      <c r="G766" t="s">
        <v>24</v>
      </c>
      <c r="H766" t="s">
        <v>20</v>
      </c>
      <c r="I766">
        <v>1577</v>
      </c>
      <c r="J766" t="s">
        <v>21</v>
      </c>
      <c r="K766">
        <v>0</v>
      </c>
      <c r="L766" t="s">
        <v>35</v>
      </c>
      <c r="M766">
        <v>900</v>
      </c>
    </row>
    <row r="767" spans="1:13">
      <c r="A767">
        <v>761</v>
      </c>
      <c r="B767">
        <v>79629</v>
      </c>
      <c r="C767" t="s">
        <v>1901</v>
      </c>
      <c r="D767" t="s">
        <v>563</v>
      </c>
      <c r="E767" t="s">
        <v>1902</v>
      </c>
      <c r="F767" t="str">
        <f>"00383774"</f>
        <v>00383774</v>
      </c>
      <c r="G767" t="s">
        <v>245</v>
      </c>
      <c r="H767" t="s">
        <v>20</v>
      </c>
      <c r="I767">
        <v>1406</v>
      </c>
      <c r="J767" t="s">
        <v>21</v>
      </c>
      <c r="K767">
        <v>0</v>
      </c>
      <c r="L767" t="s">
        <v>35</v>
      </c>
      <c r="M767">
        <v>908</v>
      </c>
    </row>
    <row r="768" spans="1:13">
      <c r="A768">
        <v>762</v>
      </c>
      <c r="B768">
        <v>73349</v>
      </c>
      <c r="C768" t="s">
        <v>1903</v>
      </c>
      <c r="D768" t="s">
        <v>139</v>
      </c>
      <c r="E768" t="s">
        <v>1904</v>
      </c>
      <c r="F768" t="str">
        <f>"00400509"</f>
        <v>00400509</v>
      </c>
      <c r="G768" t="s">
        <v>170</v>
      </c>
      <c r="H768" t="s">
        <v>738</v>
      </c>
      <c r="I768">
        <v>1643</v>
      </c>
      <c r="J768" t="s">
        <v>21</v>
      </c>
      <c r="K768">
        <v>0</v>
      </c>
      <c r="M768">
        <v>1528</v>
      </c>
    </row>
    <row r="769" spans="1:13">
      <c r="A769">
        <v>763</v>
      </c>
      <c r="B769">
        <v>53967</v>
      </c>
      <c r="C769" t="s">
        <v>1905</v>
      </c>
      <c r="D769" t="s">
        <v>76</v>
      </c>
      <c r="E769" t="s">
        <v>1906</v>
      </c>
      <c r="F769" t="str">
        <f>"00240279"</f>
        <v>00240279</v>
      </c>
      <c r="G769" t="s">
        <v>997</v>
      </c>
      <c r="H769" t="s">
        <v>20</v>
      </c>
      <c r="I769">
        <v>1502</v>
      </c>
      <c r="J769" t="s">
        <v>21</v>
      </c>
      <c r="K769">
        <v>0</v>
      </c>
      <c r="M769">
        <v>1732</v>
      </c>
    </row>
    <row r="770" spans="1:13">
      <c r="A770">
        <v>764</v>
      </c>
      <c r="B770">
        <v>113075</v>
      </c>
      <c r="C770" t="s">
        <v>1907</v>
      </c>
      <c r="D770" t="s">
        <v>76</v>
      </c>
      <c r="E770" t="s">
        <v>1908</v>
      </c>
      <c r="F770" t="str">
        <f>"00367113"</f>
        <v>00367113</v>
      </c>
      <c r="G770" t="s">
        <v>1155</v>
      </c>
      <c r="H770" t="s">
        <v>20</v>
      </c>
      <c r="I770">
        <v>1480</v>
      </c>
      <c r="J770" t="s">
        <v>21</v>
      </c>
      <c r="K770">
        <v>0</v>
      </c>
      <c r="M770">
        <v>1755</v>
      </c>
    </row>
    <row r="771" spans="1:13">
      <c r="A771">
        <v>765</v>
      </c>
      <c r="B771">
        <v>53364</v>
      </c>
      <c r="C771" t="s">
        <v>1909</v>
      </c>
      <c r="D771" t="s">
        <v>153</v>
      </c>
      <c r="E771" t="s">
        <v>1910</v>
      </c>
      <c r="F771" t="str">
        <f>"00143495"</f>
        <v>00143495</v>
      </c>
      <c r="G771" t="s">
        <v>107</v>
      </c>
      <c r="H771" t="s">
        <v>20</v>
      </c>
      <c r="I771">
        <v>1472</v>
      </c>
      <c r="J771" t="s">
        <v>21</v>
      </c>
      <c r="K771">
        <v>0</v>
      </c>
      <c r="L771" t="s">
        <v>83</v>
      </c>
      <c r="M771">
        <v>1288</v>
      </c>
    </row>
    <row r="772" spans="1:13">
      <c r="A772">
        <v>766</v>
      </c>
      <c r="B772">
        <v>89310</v>
      </c>
      <c r="C772" t="s">
        <v>1911</v>
      </c>
      <c r="D772" t="s">
        <v>905</v>
      </c>
      <c r="E772" t="s">
        <v>1912</v>
      </c>
      <c r="F772" t="str">
        <f>"00391907"</f>
        <v>00391907</v>
      </c>
      <c r="G772" t="s">
        <v>809</v>
      </c>
      <c r="H772" t="s">
        <v>20</v>
      </c>
      <c r="I772">
        <v>1504</v>
      </c>
      <c r="J772" t="s">
        <v>21</v>
      </c>
      <c r="K772">
        <v>0</v>
      </c>
      <c r="M772">
        <v>1388</v>
      </c>
    </row>
    <row r="773" spans="1:13">
      <c r="A773">
        <v>767</v>
      </c>
      <c r="B773">
        <v>65049</v>
      </c>
      <c r="C773" t="s">
        <v>1913</v>
      </c>
      <c r="D773" t="s">
        <v>243</v>
      </c>
      <c r="E773" t="s">
        <v>1914</v>
      </c>
      <c r="F773" t="str">
        <f>"00367650"</f>
        <v>00367650</v>
      </c>
      <c r="G773" t="s">
        <v>24</v>
      </c>
      <c r="H773" t="s">
        <v>20</v>
      </c>
      <c r="I773">
        <v>1577</v>
      </c>
      <c r="J773" t="s">
        <v>21</v>
      </c>
      <c r="K773">
        <v>0</v>
      </c>
      <c r="M773">
        <v>1580</v>
      </c>
    </row>
    <row r="774" spans="1:13">
      <c r="A774">
        <v>768</v>
      </c>
      <c r="B774">
        <v>59748</v>
      </c>
      <c r="C774" t="s">
        <v>1915</v>
      </c>
      <c r="D774" t="s">
        <v>1916</v>
      </c>
      <c r="E774" t="s">
        <v>1917</v>
      </c>
      <c r="F774" t="str">
        <f>"00355864"</f>
        <v>00355864</v>
      </c>
      <c r="G774" t="s">
        <v>804</v>
      </c>
      <c r="H774" t="s">
        <v>535</v>
      </c>
      <c r="I774">
        <v>1353</v>
      </c>
      <c r="J774" t="s">
        <v>21</v>
      </c>
      <c r="K774">
        <v>0</v>
      </c>
      <c r="L774" t="s">
        <v>35</v>
      </c>
      <c r="M774">
        <v>1068</v>
      </c>
    </row>
    <row r="775" spans="1:13">
      <c r="A775">
        <v>769</v>
      </c>
      <c r="B775">
        <v>79215</v>
      </c>
      <c r="C775" t="s">
        <v>1918</v>
      </c>
      <c r="D775" t="s">
        <v>145</v>
      </c>
      <c r="E775" t="s">
        <v>1919</v>
      </c>
      <c r="F775" t="str">
        <f>"00381235"</f>
        <v>00381235</v>
      </c>
      <c r="G775" t="s">
        <v>196</v>
      </c>
      <c r="H775" t="s">
        <v>20</v>
      </c>
      <c r="I775">
        <v>1512</v>
      </c>
      <c r="J775" t="s">
        <v>21</v>
      </c>
      <c r="K775">
        <v>6</v>
      </c>
      <c r="M775">
        <v>1560</v>
      </c>
    </row>
    <row r="776" spans="1:13">
      <c r="A776">
        <v>770</v>
      </c>
      <c r="B776">
        <v>87785</v>
      </c>
      <c r="C776" t="s">
        <v>1920</v>
      </c>
      <c r="D776" t="s">
        <v>76</v>
      </c>
      <c r="E776" t="s">
        <v>1921</v>
      </c>
      <c r="F776" t="str">
        <f>"00422185"</f>
        <v>00422185</v>
      </c>
      <c r="G776" t="s">
        <v>1858</v>
      </c>
      <c r="H776" t="s">
        <v>20</v>
      </c>
      <c r="I776">
        <v>1456</v>
      </c>
      <c r="J776" t="s">
        <v>21</v>
      </c>
      <c r="K776">
        <v>6</v>
      </c>
      <c r="M776">
        <v>1151</v>
      </c>
    </row>
    <row r="777" spans="1:13">
      <c r="A777">
        <v>771</v>
      </c>
      <c r="B777">
        <v>96585</v>
      </c>
      <c r="C777" t="s">
        <v>1922</v>
      </c>
      <c r="D777" t="s">
        <v>130</v>
      </c>
      <c r="E777" t="s">
        <v>1923</v>
      </c>
      <c r="F777" t="str">
        <f>"00374487"</f>
        <v>00374487</v>
      </c>
      <c r="G777" t="s">
        <v>1100</v>
      </c>
      <c r="H777" t="s">
        <v>234</v>
      </c>
      <c r="I777">
        <v>1344</v>
      </c>
      <c r="J777" t="s">
        <v>21</v>
      </c>
      <c r="K777">
        <v>6</v>
      </c>
      <c r="L777" t="s">
        <v>35</v>
      </c>
      <c r="M777">
        <v>758</v>
      </c>
    </row>
    <row r="778" spans="1:13">
      <c r="A778">
        <v>772</v>
      </c>
      <c r="B778">
        <v>53450</v>
      </c>
      <c r="C778" t="s">
        <v>1924</v>
      </c>
      <c r="D778" t="s">
        <v>218</v>
      </c>
      <c r="E778" t="s">
        <v>1925</v>
      </c>
      <c r="F778" t="str">
        <f>"00319994"</f>
        <v>00319994</v>
      </c>
      <c r="G778" t="s">
        <v>488</v>
      </c>
      <c r="H778" t="s">
        <v>20</v>
      </c>
      <c r="I778">
        <v>1482</v>
      </c>
      <c r="J778" t="s">
        <v>21</v>
      </c>
      <c r="K778">
        <v>0</v>
      </c>
      <c r="M778">
        <v>1288</v>
      </c>
    </row>
    <row r="779" spans="1:13">
      <c r="A779">
        <v>773</v>
      </c>
      <c r="B779">
        <v>77219</v>
      </c>
      <c r="C779" t="s">
        <v>1926</v>
      </c>
      <c r="D779" t="s">
        <v>105</v>
      </c>
      <c r="E779" t="s">
        <v>1927</v>
      </c>
      <c r="F779" t="str">
        <f>"00112597"</f>
        <v>00112597</v>
      </c>
      <c r="G779" t="s">
        <v>125</v>
      </c>
      <c r="H779" t="s">
        <v>20</v>
      </c>
      <c r="I779">
        <v>1507</v>
      </c>
      <c r="J779" t="s">
        <v>21</v>
      </c>
      <c r="K779">
        <v>0</v>
      </c>
      <c r="L779" t="s">
        <v>88</v>
      </c>
      <c r="M779">
        <v>800</v>
      </c>
    </row>
    <row r="780" spans="1:13">
      <c r="A780">
        <v>774</v>
      </c>
      <c r="B780">
        <v>57512</v>
      </c>
      <c r="C780" t="s">
        <v>1928</v>
      </c>
      <c r="D780" t="s">
        <v>76</v>
      </c>
      <c r="E780" t="s">
        <v>1929</v>
      </c>
      <c r="F780" t="str">
        <f>"00371257"</f>
        <v>00371257</v>
      </c>
      <c r="G780" t="s">
        <v>92</v>
      </c>
      <c r="H780" t="s">
        <v>20</v>
      </c>
      <c r="I780">
        <v>1425</v>
      </c>
      <c r="J780" t="s">
        <v>21</v>
      </c>
      <c r="K780">
        <v>0</v>
      </c>
      <c r="M780">
        <v>1688</v>
      </c>
    </row>
    <row r="781" spans="1:13">
      <c r="A781">
        <v>775</v>
      </c>
      <c r="B781">
        <v>86202</v>
      </c>
      <c r="C781" t="s">
        <v>1930</v>
      </c>
      <c r="D781" t="s">
        <v>163</v>
      </c>
      <c r="E781" t="s">
        <v>1931</v>
      </c>
      <c r="F781" t="str">
        <f>"00390326"</f>
        <v>00390326</v>
      </c>
      <c r="G781" t="s">
        <v>107</v>
      </c>
      <c r="H781" t="s">
        <v>20</v>
      </c>
      <c r="I781">
        <v>1472</v>
      </c>
      <c r="J781" t="s">
        <v>21</v>
      </c>
      <c r="K781">
        <v>0</v>
      </c>
      <c r="M781">
        <v>1448</v>
      </c>
    </row>
    <row r="782" spans="1:13">
      <c r="A782">
        <v>776</v>
      </c>
      <c r="B782">
        <v>60487</v>
      </c>
      <c r="C782" t="s">
        <v>1932</v>
      </c>
      <c r="D782" t="s">
        <v>145</v>
      </c>
      <c r="E782" t="s">
        <v>1933</v>
      </c>
      <c r="F782" t="str">
        <f>"00344730"</f>
        <v>00344730</v>
      </c>
      <c r="G782" t="s">
        <v>892</v>
      </c>
      <c r="H782" t="s">
        <v>20</v>
      </c>
      <c r="I782">
        <v>1410</v>
      </c>
      <c r="J782" t="s">
        <v>21</v>
      </c>
      <c r="K782">
        <v>0</v>
      </c>
      <c r="L782" t="s">
        <v>35</v>
      </c>
      <c r="M782">
        <v>950</v>
      </c>
    </row>
    <row r="783" spans="1:13">
      <c r="A783">
        <v>777</v>
      </c>
      <c r="B783">
        <v>69675</v>
      </c>
      <c r="C783" t="s">
        <v>1934</v>
      </c>
      <c r="D783" t="s">
        <v>213</v>
      </c>
      <c r="E783" t="s">
        <v>1935</v>
      </c>
      <c r="F783" t="str">
        <f>"00388222"</f>
        <v>00388222</v>
      </c>
      <c r="G783" t="s">
        <v>371</v>
      </c>
      <c r="H783" t="s">
        <v>20</v>
      </c>
      <c r="I783">
        <v>1526</v>
      </c>
      <c r="J783" t="s">
        <v>21</v>
      </c>
      <c r="K783">
        <v>6</v>
      </c>
      <c r="L783" t="s">
        <v>59</v>
      </c>
      <c r="M783">
        <v>250</v>
      </c>
    </row>
    <row r="784" spans="1:13">
      <c r="A784">
        <v>778</v>
      </c>
      <c r="B784">
        <v>93095</v>
      </c>
      <c r="C784" t="s">
        <v>1936</v>
      </c>
      <c r="D784" t="s">
        <v>391</v>
      </c>
      <c r="E784" t="s">
        <v>1937</v>
      </c>
      <c r="F784" t="str">
        <f>"00341999"</f>
        <v>00341999</v>
      </c>
      <c r="G784" t="s">
        <v>82</v>
      </c>
      <c r="H784" t="s">
        <v>20</v>
      </c>
      <c r="I784">
        <v>1475</v>
      </c>
      <c r="J784" t="s">
        <v>21</v>
      </c>
      <c r="K784">
        <v>0</v>
      </c>
      <c r="L784" t="s">
        <v>35</v>
      </c>
      <c r="M784">
        <v>908</v>
      </c>
    </row>
    <row r="785" spans="1:13">
      <c r="A785">
        <v>779</v>
      </c>
      <c r="B785">
        <v>55844</v>
      </c>
      <c r="C785" t="s">
        <v>1938</v>
      </c>
      <c r="D785" t="s">
        <v>198</v>
      </c>
      <c r="E785" t="s">
        <v>1939</v>
      </c>
      <c r="F785" t="str">
        <f>"00353311"</f>
        <v>00353311</v>
      </c>
      <c r="G785" t="s">
        <v>211</v>
      </c>
      <c r="H785" t="s">
        <v>48</v>
      </c>
      <c r="I785">
        <v>1628</v>
      </c>
      <c r="J785" t="s">
        <v>21</v>
      </c>
      <c r="K785">
        <v>0</v>
      </c>
      <c r="M785">
        <v>1378</v>
      </c>
    </row>
    <row r="786" spans="1:13">
      <c r="A786">
        <v>780</v>
      </c>
      <c r="B786">
        <v>86953</v>
      </c>
      <c r="C786" t="s">
        <v>1940</v>
      </c>
      <c r="D786" t="s">
        <v>205</v>
      </c>
      <c r="E786" t="s">
        <v>1941</v>
      </c>
      <c r="F786" t="str">
        <f>"00378127"</f>
        <v>00378127</v>
      </c>
      <c r="G786" t="s">
        <v>437</v>
      </c>
      <c r="H786" t="s">
        <v>20</v>
      </c>
      <c r="I786">
        <v>1407</v>
      </c>
      <c r="J786" t="s">
        <v>21</v>
      </c>
      <c r="K786">
        <v>0</v>
      </c>
      <c r="M786">
        <v>1528</v>
      </c>
    </row>
    <row r="787" spans="1:13">
      <c r="A787">
        <v>781</v>
      </c>
      <c r="B787">
        <v>107854</v>
      </c>
      <c r="C787" t="s">
        <v>1942</v>
      </c>
      <c r="D787" t="s">
        <v>102</v>
      </c>
      <c r="E787" t="s">
        <v>1943</v>
      </c>
      <c r="F787" t="str">
        <f>"00421706"</f>
        <v>00421706</v>
      </c>
      <c r="G787" t="s">
        <v>892</v>
      </c>
      <c r="H787" t="s">
        <v>20</v>
      </c>
      <c r="I787">
        <v>1410</v>
      </c>
      <c r="J787" t="s">
        <v>21</v>
      </c>
      <c r="K787">
        <v>0</v>
      </c>
      <c r="L787" t="s">
        <v>35</v>
      </c>
      <c r="M787">
        <v>906</v>
      </c>
    </row>
    <row r="788" spans="1:13">
      <c r="A788">
        <v>782</v>
      </c>
      <c r="B788">
        <v>94056</v>
      </c>
      <c r="C788" t="s">
        <v>1944</v>
      </c>
      <c r="D788" t="s">
        <v>1945</v>
      </c>
      <c r="E788" t="s">
        <v>1946</v>
      </c>
      <c r="F788" t="str">
        <f>"00410814"</f>
        <v>00410814</v>
      </c>
      <c r="G788" t="s">
        <v>676</v>
      </c>
      <c r="H788" t="s">
        <v>234</v>
      </c>
      <c r="I788">
        <v>1338</v>
      </c>
      <c r="J788" t="s">
        <v>21</v>
      </c>
      <c r="K788">
        <v>6</v>
      </c>
      <c r="L788" t="s">
        <v>35</v>
      </c>
      <c r="M788">
        <v>1158</v>
      </c>
    </row>
    <row r="789" spans="1:13">
      <c r="A789">
        <v>783</v>
      </c>
      <c r="B789">
        <v>81152</v>
      </c>
      <c r="C789" t="s">
        <v>1947</v>
      </c>
      <c r="D789" t="s">
        <v>205</v>
      </c>
      <c r="E789" t="s">
        <v>1948</v>
      </c>
      <c r="F789" t="str">
        <f>"00261465"</f>
        <v>00261465</v>
      </c>
      <c r="G789" t="s">
        <v>718</v>
      </c>
      <c r="H789" t="s">
        <v>48</v>
      </c>
      <c r="I789">
        <v>1625</v>
      </c>
      <c r="J789" t="s">
        <v>21</v>
      </c>
      <c r="K789">
        <v>0</v>
      </c>
      <c r="L789" t="s">
        <v>35</v>
      </c>
      <c r="M789">
        <v>1257</v>
      </c>
    </row>
    <row r="790" spans="1:13">
      <c r="A790">
        <v>784</v>
      </c>
      <c r="B790">
        <v>113436</v>
      </c>
      <c r="C790" t="s">
        <v>1949</v>
      </c>
      <c r="D790" t="s">
        <v>557</v>
      </c>
      <c r="E790" t="s">
        <v>1950</v>
      </c>
      <c r="F790" t="str">
        <f>"00409520"</f>
        <v>00409520</v>
      </c>
      <c r="G790" t="s">
        <v>38</v>
      </c>
      <c r="H790" t="s">
        <v>39</v>
      </c>
      <c r="I790">
        <v>1634</v>
      </c>
      <c r="J790" t="s">
        <v>21</v>
      </c>
      <c r="K790">
        <v>6</v>
      </c>
      <c r="M790">
        <v>1228</v>
      </c>
    </row>
    <row r="791" spans="1:13">
      <c r="A791">
        <v>785</v>
      </c>
      <c r="B791">
        <v>74195</v>
      </c>
      <c r="C791" t="s">
        <v>1951</v>
      </c>
      <c r="D791" t="s">
        <v>180</v>
      </c>
      <c r="E791" t="s">
        <v>1952</v>
      </c>
      <c r="F791" t="str">
        <f>"00396866"</f>
        <v>00396866</v>
      </c>
      <c r="G791" t="s">
        <v>1953</v>
      </c>
      <c r="H791" t="s">
        <v>234</v>
      </c>
      <c r="I791">
        <v>1332</v>
      </c>
      <c r="J791" t="s">
        <v>21</v>
      </c>
      <c r="K791">
        <v>6</v>
      </c>
      <c r="M791">
        <v>1338</v>
      </c>
    </row>
    <row r="792" spans="1:13">
      <c r="A792">
        <v>786</v>
      </c>
      <c r="B792">
        <v>86446</v>
      </c>
      <c r="C792" t="s">
        <v>1954</v>
      </c>
      <c r="D792" t="s">
        <v>98</v>
      </c>
      <c r="E792" t="s">
        <v>1955</v>
      </c>
      <c r="F792" t="str">
        <f>"201511016615"</f>
        <v>201511016615</v>
      </c>
      <c r="G792" t="s">
        <v>70</v>
      </c>
      <c r="H792" t="s">
        <v>71</v>
      </c>
      <c r="I792">
        <v>1702</v>
      </c>
      <c r="J792" t="s">
        <v>21</v>
      </c>
      <c r="K792">
        <v>0</v>
      </c>
      <c r="L792" t="s">
        <v>35</v>
      </c>
      <c r="M792">
        <v>1036</v>
      </c>
    </row>
    <row r="793" spans="1:13">
      <c r="A793">
        <v>787</v>
      </c>
      <c r="B793">
        <v>49708</v>
      </c>
      <c r="C793" t="s">
        <v>1956</v>
      </c>
      <c r="D793" t="s">
        <v>105</v>
      </c>
      <c r="E793" t="s">
        <v>1957</v>
      </c>
      <c r="F793" t="str">
        <f>"00372308"</f>
        <v>00372308</v>
      </c>
      <c r="G793" t="s">
        <v>1155</v>
      </c>
      <c r="H793" t="s">
        <v>20</v>
      </c>
      <c r="I793">
        <v>1480</v>
      </c>
      <c r="J793" t="s">
        <v>21</v>
      </c>
      <c r="K793">
        <v>0</v>
      </c>
      <c r="M793">
        <v>1528</v>
      </c>
    </row>
    <row r="794" spans="1:13">
      <c r="A794">
        <v>788</v>
      </c>
      <c r="B794">
        <v>107802</v>
      </c>
      <c r="C794" t="s">
        <v>1958</v>
      </c>
      <c r="D794" t="s">
        <v>163</v>
      </c>
      <c r="E794" t="s">
        <v>1959</v>
      </c>
      <c r="F794" t="str">
        <f>"00406646"</f>
        <v>00406646</v>
      </c>
      <c r="G794" t="s">
        <v>610</v>
      </c>
      <c r="H794" t="s">
        <v>20</v>
      </c>
      <c r="I794">
        <v>1429</v>
      </c>
      <c r="J794" t="s">
        <v>21</v>
      </c>
      <c r="K794">
        <v>0</v>
      </c>
      <c r="M794">
        <v>1403</v>
      </c>
    </row>
    <row r="795" spans="1:13">
      <c r="A795">
        <v>789</v>
      </c>
      <c r="B795">
        <v>106483</v>
      </c>
      <c r="C795" t="s">
        <v>1960</v>
      </c>
      <c r="D795" t="s">
        <v>76</v>
      </c>
      <c r="E795" t="s">
        <v>1961</v>
      </c>
      <c r="F795" t="str">
        <f>"00348512"</f>
        <v>00348512</v>
      </c>
      <c r="G795" t="s">
        <v>47</v>
      </c>
      <c r="H795" t="s">
        <v>48</v>
      </c>
      <c r="I795">
        <v>1623</v>
      </c>
      <c r="J795" t="s">
        <v>21</v>
      </c>
      <c r="K795">
        <v>0</v>
      </c>
      <c r="M795">
        <v>1428</v>
      </c>
    </row>
    <row r="796" spans="1:13">
      <c r="A796">
        <v>790</v>
      </c>
      <c r="B796">
        <v>88968</v>
      </c>
      <c r="C796" t="s">
        <v>1962</v>
      </c>
      <c r="D796" t="s">
        <v>130</v>
      </c>
      <c r="E796" t="s">
        <v>1963</v>
      </c>
      <c r="F796" t="str">
        <f>"00423747"</f>
        <v>00423747</v>
      </c>
      <c r="G796" t="s">
        <v>47</v>
      </c>
      <c r="H796" t="s">
        <v>48</v>
      </c>
      <c r="I796">
        <v>1623</v>
      </c>
      <c r="J796" t="s">
        <v>21</v>
      </c>
      <c r="K796">
        <v>0</v>
      </c>
      <c r="L796" t="s">
        <v>59</v>
      </c>
      <c r="M796">
        <v>978</v>
      </c>
    </row>
    <row r="797" spans="1:13">
      <c r="A797">
        <v>791</v>
      </c>
      <c r="B797">
        <v>90555</v>
      </c>
      <c r="C797" t="s">
        <v>1964</v>
      </c>
      <c r="D797" t="s">
        <v>153</v>
      </c>
      <c r="E797" t="s">
        <v>1965</v>
      </c>
      <c r="F797" t="str">
        <f>"00374458"</f>
        <v>00374458</v>
      </c>
      <c r="G797" t="s">
        <v>583</v>
      </c>
      <c r="H797" t="s">
        <v>137</v>
      </c>
      <c r="I797">
        <v>1601</v>
      </c>
      <c r="J797" t="s">
        <v>21</v>
      </c>
      <c r="K797">
        <v>0</v>
      </c>
      <c r="L797" t="s">
        <v>35</v>
      </c>
      <c r="M797">
        <v>908</v>
      </c>
    </row>
    <row r="798" spans="1:13">
      <c r="A798">
        <v>792</v>
      </c>
      <c r="B798">
        <v>53855</v>
      </c>
      <c r="C798" t="s">
        <v>1966</v>
      </c>
      <c r="D798" t="s">
        <v>76</v>
      </c>
      <c r="E798" t="s">
        <v>1967</v>
      </c>
      <c r="F798" t="str">
        <f>"00224351"</f>
        <v>00224351</v>
      </c>
      <c r="G798" t="s">
        <v>78</v>
      </c>
      <c r="H798" t="s">
        <v>20</v>
      </c>
      <c r="I798">
        <v>1460</v>
      </c>
      <c r="J798" t="s">
        <v>21</v>
      </c>
      <c r="K798">
        <v>0</v>
      </c>
      <c r="L798" t="s">
        <v>35</v>
      </c>
      <c r="M798">
        <v>1053</v>
      </c>
    </row>
    <row r="799" spans="1:13">
      <c r="A799">
        <v>793</v>
      </c>
      <c r="B799">
        <v>47633</v>
      </c>
      <c r="C799" t="s">
        <v>1968</v>
      </c>
      <c r="D799" t="s">
        <v>76</v>
      </c>
      <c r="E799" t="s">
        <v>1969</v>
      </c>
      <c r="F799" t="str">
        <f>"00252367"</f>
        <v>00252367</v>
      </c>
      <c r="G799" t="s">
        <v>1970</v>
      </c>
      <c r="H799" t="s">
        <v>20</v>
      </c>
      <c r="I799">
        <v>1440</v>
      </c>
      <c r="J799" t="s">
        <v>21</v>
      </c>
      <c r="K799">
        <v>6</v>
      </c>
      <c r="L799" t="s">
        <v>35</v>
      </c>
      <c r="M799">
        <v>1150</v>
      </c>
    </row>
    <row r="800" spans="1:13">
      <c r="A800">
        <v>794</v>
      </c>
      <c r="B800">
        <v>100654</v>
      </c>
      <c r="C800" t="s">
        <v>1971</v>
      </c>
      <c r="D800" t="s">
        <v>205</v>
      </c>
      <c r="E800" t="s">
        <v>1972</v>
      </c>
      <c r="F800" t="str">
        <f>"00389280"</f>
        <v>00389280</v>
      </c>
      <c r="G800" t="s">
        <v>47</v>
      </c>
      <c r="H800" t="s">
        <v>48</v>
      </c>
      <c r="I800">
        <v>1623</v>
      </c>
      <c r="J800" t="s">
        <v>21</v>
      </c>
      <c r="K800">
        <v>0</v>
      </c>
      <c r="L800" t="s">
        <v>112</v>
      </c>
      <c r="M800">
        <v>800</v>
      </c>
    </row>
    <row r="801" spans="1:13">
      <c r="A801">
        <v>795</v>
      </c>
      <c r="B801">
        <v>55730</v>
      </c>
      <c r="C801" t="s">
        <v>1973</v>
      </c>
      <c r="D801" t="s">
        <v>80</v>
      </c>
      <c r="E801" t="s">
        <v>1974</v>
      </c>
      <c r="F801" t="str">
        <f>"00358927"</f>
        <v>00358927</v>
      </c>
      <c r="G801" t="s">
        <v>47</v>
      </c>
      <c r="H801" t="s">
        <v>48</v>
      </c>
      <c r="I801">
        <v>1623</v>
      </c>
      <c r="J801" t="s">
        <v>21</v>
      </c>
      <c r="K801">
        <v>0</v>
      </c>
      <c r="L801" t="s">
        <v>35</v>
      </c>
      <c r="M801">
        <v>958</v>
      </c>
    </row>
    <row r="802" spans="1:13">
      <c r="A802">
        <v>796</v>
      </c>
      <c r="B802">
        <v>79575</v>
      </c>
      <c r="C802" t="s">
        <v>1975</v>
      </c>
      <c r="D802" t="s">
        <v>130</v>
      </c>
      <c r="E802" t="s">
        <v>1976</v>
      </c>
      <c r="F802" t="str">
        <f>"00102760"</f>
        <v>00102760</v>
      </c>
      <c r="G802" t="s">
        <v>329</v>
      </c>
      <c r="H802" t="s">
        <v>20</v>
      </c>
      <c r="I802">
        <v>1509</v>
      </c>
      <c r="J802" t="s">
        <v>21</v>
      </c>
      <c r="K802">
        <v>0</v>
      </c>
      <c r="M802">
        <v>1368</v>
      </c>
    </row>
    <row r="803" spans="1:13">
      <c r="A803">
        <v>797</v>
      </c>
      <c r="B803">
        <v>80201</v>
      </c>
      <c r="C803" t="s">
        <v>1977</v>
      </c>
      <c r="D803" t="s">
        <v>90</v>
      </c>
      <c r="E803" t="s">
        <v>1978</v>
      </c>
      <c r="F803" t="str">
        <f>"00289966"</f>
        <v>00289966</v>
      </c>
      <c r="G803" t="s">
        <v>721</v>
      </c>
      <c r="H803" t="s">
        <v>20</v>
      </c>
      <c r="I803">
        <v>1575</v>
      </c>
      <c r="J803" t="s">
        <v>21</v>
      </c>
      <c r="K803">
        <v>0</v>
      </c>
      <c r="L803" t="s">
        <v>35</v>
      </c>
      <c r="M803">
        <v>1084</v>
      </c>
    </row>
    <row r="804" spans="1:13">
      <c r="A804">
        <v>798</v>
      </c>
      <c r="B804">
        <v>97476</v>
      </c>
      <c r="C804" t="s">
        <v>1979</v>
      </c>
      <c r="D804" t="s">
        <v>180</v>
      </c>
      <c r="E804" t="s">
        <v>1980</v>
      </c>
      <c r="F804" t="str">
        <f>"00370800"</f>
        <v>00370800</v>
      </c>
      <c r="G804" t="s">
        <v>418</v>
      </c>
      <c r="H804" t="s">
        <v>234</v>
      </c>
      <c r="I804">
        <v>1335</v>
      </c>
      <c r="J804" t="s">
        <v>21</v>
      </c>
      <c r="K804">
        <v>6</v>
      </c>
      <c r="L804" t="s">
        <v>112</v>
      </c>
      <c r="M804">
        <v>800</v>
      </c>
    </row>
    <row r="805" spans="1:13">
      <c r="A805">
        <v>799</v>
      </c>
      <c r="B805">
        <v>108994</v>
      </c>
      <c r="C805" t="s">
        <v>1981</v>
      </c>
      <c r="D805" t="s">
        <v>1982</v>
      </c>
      <c r="E805" t="s">
        <v>1983</v>
      </c>
      <c r="F805" t="str">
        <f>"00259747"</f>
        <v>00259747</v>
      </c>
      <c r="G805" t="s">
        <v>1984</v>
      </c>
      <c r="H805" t="s">
        <v>274</v>
      </c>
      <c r="I805">
        <v>1400</v>
      </c>
      <c r="J805" t="s">
        <v>21</v>
      </c>
      <c r="K805">
        <v>0</v>
      </c>
      <c r="L805" t="s">
        <v>35</v>
      </c>
      <c r="M805">
        <v>1074</v>
      </c>
    </row>
    <row r="806" spans="1:13">
      <c r="A806">
        <v>800</v>
      </c>
      <c r="B806">
        <v>82153</v>
      </c>
      <c r="C806" t="s">
        <v>1985</v>
      </c>
      <c r="D806" t="s">
        <v>218</v>
      </c>
      <c r="E806" t="s">
        <v>1986</v>
      </c>
      <c r="F806" t="str">
        <f>"00045856"</f>
        <v>00045856</v>
      </c>
      <c r="G806" t="s">
        <v>170</v>
      </c>
      <c r="H806" t="s">
        <v>423</v>
      </c>
      <c r="I806">
        <v>1636</v>
      </c>
      <c r="J806" t="s">
        <v>21</v>
      </c>
      <c r="K806">
        <v>0</v>
      </c>
      <c r="M806">
        <v>1388</v>
      </c>
    </row>
    <row r="807" spans="1:13">
      <c r="A807">
        <v>801</v>
      </c>
      <c r="B807">
        <v>104537</v>
      </c>
      <c r="C807" t="s">
        <v>1987</v>
      </c>
      <c r="D807" t="s">
        <v>243</v>
      </c>
      <c r="E807" t="s">
        <v>1988</v>
      </c>
      <c r="F807" t="str">
        <f>"201511034451"</f>
        <v>201511034451</v>
      </c>
      <c r="G807" t="s">
        <v>1561</v>
      </c>
      <c r="H807" t="s">
        <v>20</v>
      </c>
      <c r="I807">
        <v>1505</v>
      </c>
      <c r="J807" t="s">
        <v>21</v>
      </c>
      <c r="K807">
        <v>0</v>
      </c>
      <c r="L807" t="s">
        <v>35</v>
      </c>
      <c r="M807">
        <v>1108</v>
      </c>
    </row>
    <row r="808" spans="1:13">
      <c r="A808">
        <v>802</v>
      </c>
      <c r="B808">
        <v>74632</v>
      </c>
      <c r="C808" t="s">
        <v>1989</v>
      </c>
      <c r="D808" t="s">
        <v>85</v>
      </c>
      <c r="E808" t="s">
        <v>1990</v>
      </c>
      <c r="F808" t="str">
        <f>"00391788"</f>
        <v>00391788</v>
      </c>
      <c r="G808" t="s">
        <v>1695</v>
      </c>
      <c r="H808" t="s">
        <v>20</v>
      </c>
      <c r="I808">
        <v>1533</v>
      </c>
      <c r="J808" t="s">
        <v>21</v>
      </c>
      <c r="K808">
        <v>0</v>
      </c>
      <c r="L808" t="s">
        <v>35</v>
      </c>
      <c r="M808">
        <v>858</v>
      </c>
    </row>
    <row r="809" spans="1:13">
      <c r="A809">
        <v>803</v>
      </c>
      <c r="B809">
        <v>86890</v>
      </c>
      <c r="C809" t="s">
        <v>1991</v>
      </c>
      <c r="D809" t="s">
        <v>249</v>
      </c>
      <c r="E809" t="s">
        <v>1992</v>
      </c>
      <c r="F809" t="str">
        <f>"00270639"</f>
        <v>00270639</v>
      </c>
      <c r="G809" t="s">
        <v>1561</v>
      </c>
      <c r="H809" t="s">
        <v>20</v>
      </c>
      <c r="I809">
        <v>1505</v>
      </c>
      <c r="J809" t="s">
        <v>21</v>
      </c>
      <c r="K809">
        <v>0</v>
      </c>
      <c r="L809" t="s">
        <v>35</v>
      </c>
      <c r="M809">
        <v>1208</v>
      </c>
    </row>
    <row r="810" spans="1:13">
      <c r="A810">
        <v>804</v>
      </c>
      <c r="B810">
        <v>57165</v>
      </c>
      <c r="C810" t="s">
        <v>1993</v>
      </c>
      <c r="D810" t="s">
        <v>90</v>
      </c>
      <c r="E810" t="s">
        <v>1994</v>
      </c>
      <c r="F810" t="str">
        <f>"00358759"</f>
        <v>00358759</v>
      </c>
      <c r="G810" t="s">
        <v>1995</v>
      </c>
      <c r="H810" t="s">
        <v>20</v>
      </c>
      <c r="I810">
        <v>1508</v>
      </c>
      <c r="J810" t="s">
        <v>21</v>
      </c>
      <c r="K810">
        <v>0</v>
      </c>
      <c r="L810" t="s">
        <v>35</v>
      </c>
      <c r="M810">
        <v>1183</v>
      </c>
    </row>
    <row r="811" spans="1:13">
      <c r="A811">
        <v>805</v>
      </c>
      <c r="B811">
        <v>112487</v>
      </c>
      <c r="C811" t="s">
        <v>1996</v>
      </c>
      <c r="D811" t="s">
        <v>205</v>
      </c>
      <c r="E811" t="s">
        <v>1997</v>
      </c>
      <c r="F811" t="str">
        <f>"00419446"</f>
        <v>00419446</v>
      </c>
      <c r="G811" t="s">
        <v>1998</v>
      </c>
      <c r="H811" t="s">
        <v>20</v>
      </c>
      <c r="I811">
        <v>1497</v>
      </c>
      <c r="J811" t="s">
        <v>21</v>
      </c>
      <c r="K811">
        <v>0</v>
      </c>
      <c r="L811" t="s">
        <v>35</v>
      </c>
      <c r="M811">
        <v>1108</v>
      </c>
    </row>
    <row r="812" spans="1:13">
      <c r="A812">
        <v>806</v>
      </c>
      <c r="B812">
        <v>57035</v>
      </c>
      <c r="C812" t="s">
        <v>1999</v>
      </c>
      <c r="D812" t="s">
        <v>243</v>
      </c>
      <c r="E812" t="s">
        <v>2000</v>
      </c>
      <c r="F812" t="str">
        <f>"00360703"</f>
        <v>00360703</v>
      </c>
      <c r="G812" t="s">
        <v>125</v>
      </c>
      <c r="H812" t="s">
        <v>20</v>
      </c>
      <c r="I812">
        <v>1507</v>
      </c>
      <c r="J812" t="s">
        <v>21</v>
      </c>
      <c r="K812">
        <v>0</v>
      </c>
      <c r="M812">
        <v>1388</v>
      </c>
    </row>
    <row r="813" spans="1:13">
      <c r="A813">
        <v>807</v>
      </c>
      <c r="B813">
        <v>54280</v>
      </c>
      <c r="C813" t="s">
        <v>2001</v>
      </c>
      <c r="D813" t="s">
        <v>205</v>
      </c>
      <c r="E813" t="s">
        <v>2002</v>
      </c>
      <c r="F813" t="str">
        <f>"201511021053"</f>
        <v>201511021053</v>
      </c>
      <c r="G813" t="s">
        <v>107</v>
      </c>
      <c r="H813" t="s">
        <v>20</v>
      </c>
      <c r="I813">
        <v>1472</v>
      </c>
      <c r="J813" t="s">
        <v>21</v>
      </c>
      <c r="K813">
        <v>0</v>
      </c>
      <c r="M813">
        <v>1438</v>
      </c>
    </row>
    <row r="814" spans="1:13">
      <c r="A814">
        <v>808</v>
      </c>
      <c r="B814">
        <v>54526</v>
      </c>
      <c r="C814" t="s">
        <v>2003</v>
      </c>
      <c r="D814" t="s">
        <v>76</v>
      </c>
      <c r="E814" t="s">
        <v>2004</v>
      </c>
      <c r="F814" t="str">
        <f>"00350533"</f>
        <v>00350533</v>
      </c>
      <c r="G814" t="s">
        <v>47</v>
      </c>
      <c r="H814" t="s">
        <v>48</v>
      </c>
      <c r="I814">
        <v>1623</v>
      </c>
      <c r="J814" t="s">
        <v>21</v>
      </c>
      <c r="K814">
        <v>0</v>
      </c>
      <c r="M814">
        <v>1360</v>
      </c>
    </row>
    <row r="815" spans="1:13">
      <c r="A815">
        <v>809</v>
      </c>
      <c r="B815">
        <v>82622</v>
      </c>
      <c r="C815" t="s">
        <v>2005</v>
      </c>
      <c r="D815" t="s">
        <v>90</v>
      </c>
      <c r="E815" t="s">
        <v>2006</v>
      </c>
      <c r="F815" t="str">
        <f>"00409023"</f>
        <v>00409023</v>
      </c>
      <c r="G815" t="s">
        <v>395</v>
      </c>
      <c r="H815" t="s">
        <v>234</v>
      </c>
      <c r="I815">
        <v>1336</v>
      </c>
      <c r="J815" t="s">
        <v>21</v>
      </c>
      <c r="K815">
        <v>0</v>
      </c>
      <c r="L815" t="s">
        <v>35</v>
      </c>
      <c r="M815">
        <v>1236</v>
      </c>
    </row>
    <row r="816" spans="1:13">
      <c r="A816">
        <v>810</v>
      </c>
      <c r="B816">
        <v>106992</v>
      </c>
      <c r="C816" t="s">
        <v>2007</v>
      </c>
      <c r="D816" t="s">
        <v>2008</v>
      </c>
      <c r="E816" t="s">
        <v>2009</v>
      </c>
      <c r="F816" t="str">
        <f>"00407750"</f>
        <v>00407750</v>
      </c>
      <c r="G816" t="s">
        <v>284</v>
      </c>
      <c r="H816" t="s">
        <v>270</v>
      </c>
      <c r="I816">
        <v>1586</v>
      </c>
      <c r="J816" t="s">
        <v>21</v>
      </c>
      <c r="K816">
        <v>0</v>
      </c>
      <c r="L816" t="s">
        <v>59</v>
      </c>
      <c r="M816">
        <v>888</v>
      </c>
    </row>
    <row r="817" spans="1:13">
      <c r="A817">
        <v>811</v>
      </c>
      <c r="B817">
        <v>73752</v>
      </c>
      <c r="C817" t="s">
        <v>2010</v>
      </c>
      <c r="D817" t="s">
        <v>121</v>
      </c>
      <c r="E817" t="s">
        <v>2011</v>
      </c>
      <c r="F817" t="str">
        <f>"00293411"</f>
        <v>00293411</v>
      </c>
      <c r="G817" t="s">
        <v>125</v>
      </c>
      <c r="H817" t="s">
        <v>20</v>
      </c>
      <c r="I817">
        <v>1507</v>
      </c>
      <c r="J817" t="s">
        <v>21</v>
      </c>
      <c r="K817">
        <v>0</v>
      </c>
      <c r="L817" t="s">
        <v>35</v>
      </c>
      <c r="M817">
        <v>1000</v>
      </c>
    </row>
    <row r="818" spans="1:13">
      <c r="A818">
        <v>812</v>
      </c>
      <c r="B818">
        <v>96765</v>
      </c>
      <c r="C818" t="s">
        <v>2012</v>
      </c>
      <c r="D818" t="s">
        <v>243</v>
      </c>
      <c r="E818" t="s">
        <v>2013</v>
      </c>
      <c r="F818" t="str">
        <f>"00389120"</f>
        <v>00389120</v>
      </c>
      <c r="G818" t="s">
        <v>125</v>
      </c>
      <c r="H818" t="s">
        <v>20</v>
      </c>
      <c r="I818">
        <v>1507</v>
      </c>
      <c r="J818" t="s">
        <v>21</v>
      </c>
      <c r="K818">
        <v>0</v>
      </c>
      <c r="L818" t="s">
        <v>35</v>
      </c>
      <c r="M818">
        <v>1036</v>
      </c>
    </row>
    <row r="819" spans="1:13">
      <c r="A819">
        <v>813</v>
      </c>
      <c r="B819">
        <v>66458</v>
      </c>
      <c r="C819" t="s">
        <v>2014</v>
      </c>
      <c r="D819" t="s">
        <v>121</v>
      </c>
      <c r="E819" t="s">
        <v>2015</v>
      </c>
      <c r="F819" t="str">
        <f>"00368612"</f>
        <v>00368612</v>
      </c>
      <c r="G819" t="s">
        <v>365</v>
      </c>
      <c r="H819" t="s">
        <v>366</v>
      </c>
      <c r="I819">
        <v>1692</v>
      </c>
      <c r="J819" t="s">
        <v>21</v>
      </c>
      <c r="K819">
        <v>0</v>
      </c>
      <c r="L819" t="s">
        <v>35</v>
      </c>
      <c r="M819">
        <v>908</v>
      </c>
    </row>
    <row r="820" spans="1:13">
      <c r="A820">
        <v>814</v>
      </c>
      <c r="B820">
        <v>80320</v>
      </c>
      <c r="C820" t="s">
        <v>2016</v>
      </c>
      <c r="D820" t="s">
        <v>105</v>
      </c>
      <c r="E820" t="s">
        <v>2017</v>
      </c>
      <c r="F820" t="str">
        <f>"00045841"</f>
        <v>00045841</v>
      </c>
      <c r="G820" t="s">
        <v>371</v>
      </c>
      <c r="H820" t="s">
        <v>20</v>
      </c>
      <c r="I820">
        <v>1526</v>
      </c>
      <c r="J820" t="s">
        <v>21</v>
      </c>
      <c r="K820">
        <v>6</v>
      </c>
      <c r="L820" t="s">
        <v>112</v>
      </c>
      <c r="M820">
        <v>50</v>
      </c>
    </row>
    <row r="821" spans="1:13">
      <c r="A821">
        <v>815</v>
      </c>
      <c r="B821">
        <v>110298</v>
      </c>
      <c r="C821" t="s">
        <v>2018</v>
      </c>
      <c r="D821" t="s">
        <v>76</v>
      </c>
      <c r="E821" t="s">
        <v>2019</v>
      </c>
      <c r="F821" t="str">
        <f>"00418264"</f>
        <v>00418264</v>
      </c>
      <c r="G821" t="s">
        <v>38</v>
      </c>
      <c r="H821" t="s">
        <v>39</v>
      </c>
      <c r="I821">
        <v>1634</v>
      </c>
      <c r="J821" t="s">
        <v>21</v>
      </c>
      <c r="K821">
        <v>6</v>
      </c>
      <c r="L821" t="s">
        <v>35</v>
      </c>
      <c r="M821">
        <v>608</v>
      </c>
    </row>
    <row r="822" spans="1:13">
      <c r="A822">
        <v>816</v>
      </c>
      <c r="B822">
        <v>106176</v>
      </c>
      <c r="C822" t="s">
        <v>2020</v>
      </c>
      <c r="D822" t="s">
        <v>2021</v>
      </c>
      <c r="E822" t="s">
        <v>2022</v>
      </c>
      <c r="F822" t="str">
        <f>"00406480"</f>
        <v>00406480</v>
      </c>
      <c r="G822" t="s">
        <v>488</v>
      </c>
      <c r="H822" t="s">
        <v>20</v>
      </c>
      <c r="I822">
        <v>1482</v>
      </c>
      <c r="J822" t="s">
        <v>21</v>
      </c>
      <c r="K822">
        <v>0</v>
      </c>
      <c r="L822" t="s">
        <v>83</v>
      </c>
      <c r="M822">
        <v>1215</v>
      </c>
    </row>
    <row r="823" spans="1:13">
      <c r="A823">
        <v>817</v>
      </c>
      <c r="B823">
        <v>97399</v>
      </c>
      <c r="C823" t="s">
        <v>2023</v>
      </c>
      <c r="D823" t="s">
        <v>218</v>
      </c>
      <c r="E823" t="s">
        <v>2024</v>
      </c>
      <c r="F823" t="str">
        <f>"00288104"</f>
        <v>00288104</v>
      </c>
      <c r="G823" t="s">
        <v>2025</v>
      </c>
      <c r="H823" t="s">
        <v>20</v>
      </c>
      <c r="I823">
        <v>1570</v>
      </c>
      <c r="J823" t="s">
        <v>21</v>
      </c>
      <c r="K823">
        <v>6</v>
      </c>
      <c r="L823" t="s">
        <v>35</v>
      </c>
      <c r="M823">
        <v>1100</v>
      </c>
    </row>
    <row r="824" spans="1:13">
      <c r="A824">
        <v>818</v>
      </c>
      <c r="B824">
        <v>103253</v>
      </c>
      <c r="C824" t="s">
        <v>2026</v>
      </c>
      <c r="D824" t="s">
        <v>288</v>
      </c>
      <c r="E824" t="s">
        <v>2027</v>
      </c>
      <c r="F824" t="str">
        <f>"00382067"</f>
        <v>00382067</v>
      </c>
      <c r="G824" t="s">
        <v>520</v>
      </c>
      <c r="H824" t="s">
        <v>20</v>
      </c>
      <c r="I824">
        <v>1540</v>
      </c>
      <c r="J824" t="s">
        <v>21</v>
      </c>
      <c r="K824">
        <v>0</v>
      </c>
      <c r="L824" t="s">
        <v>88</v>
      </c>
      <c r="M824">
        <v>691</v>
      </c>
    </row>
    <row r="825" spans="1:13">
      <c r="A825">
        <v>819</v>
      </c>
      <c r="B825">
        <v>89693</v>
      </c>
      <c r="C825" t="s">
        <v>2028</v>
      </c>
      <c r="D825" t="s">
        <v>2029</v>
      </c>
      <c r="E825" t="s">
        <v>2030</v>
      </c>
      <c r="F825" t="str">
        <f>"00399316"</f>
        <v>00399316</v>
      </c>
      <c r="G825" t="s">
        <v>2031</v>
      </c>
      <c r="H825" t="s">
        <v>137</v>
      </c>
      <c r="I825">
        <v>1610</v>
      </c>
      <c r="J825" t="s">
        <v>21</v>
      </c>
      <c r="K825">
        <v>0</v>
      </c>
      <c r="M825">
        <v>1439</v>
      </c>
    </row>
    <row r="826" spans="1:13">
      <c r="A826">
        <v>820</v>
      </c>
      <c r="B826">
        <v>46957</v>
      </c>
      <c r="C826" t="s">
        <v>2032</v>
      </c>
      <c r="D826" t="s">
        <v>80</v>
      </c>
      <c r="E826" t="s">
        <v>2033</v>
      </c>
      <c r="F826" t="str">
        <f>"00022960"</f>
        <v>00022960</v>
      </c>
      <c r="G826" t="s">
        <v>437</v>
      </c>
      <c r="H826" t="s">
        <v>20</v>
      </c>
      <c r="I826">
        <v>1407</v>
      </c>
      <c r="J826" t="s">
        <v>21</v>
      </c>
      <c r="K826">
        <v>0</v>
      </c>
      <c r="L826" t="s">
        <v>35</v>
      </c>
      <c r="M826">
        <v>1008</v>
      </c>
    </row>
    <row r="827" spans="1:13">
      <c r="A827">
        <v>821</v>
      </c>
      <c r="B827">
        <v>57084</v>
      </c>
      <c r="C827" t="s">
        <v>2034</v>
      </c>
      <c r="D827" t="s">
        <v>76</v>
      </c>
      <c r="E827" t="s">
        <v>2035</v>
      </c>
      <c r="F827" t="str">
        <f>"00354885"</f>
        <v>00354885</v>
      </c>
      <c r="G827" t="s">
        <v>2036</v>
      </c>
      <c r="H827" t="s">
        <v>20</v>
      </c>
      <c r="I827">
        <v>1477</v>
      </c>
      <c r="J827" t="s">
        <v>21</v>
      </c>
      <c r="K827">
        <v>6</v>
      </c>
      <c r="M827">
        <v>1238</v>
      </c>
    </row>
    <row r="828" spans="1:13">
      <c r="A828">
        <v>822</v>
      </c>
      <c r="B828">
        <v>103193</v>
      </c>
      <c r="C828" t="s">
        <v>2037</v>
      </c>
      <c r="D828" t="s">
        <v>90</v>
      </c>
      <c r="E828" t="s">
        <v>2038</v>
      </c>
      <c r="F828" t="str">
        <f>"00260786"</f>
        <v>00260786</v>
      </c>
      <c r="G828" t="s">
        <v>107</v>
      </c>
      <c r="H828" t="s">
        <v>20</v>
      </c>
      <c r="I828">
        <v>1472</v>
      </c>
      <c r="J828" t="s">
        <v>21</v>
      </c>
      <c r="K828">
        <v>0</v>
      </c>
      <c r="L828" t="s">
        <v>35</v>
      </c>
      <c r="M828">
        <v>908</v>
      </c>
    </row>
    <row r="829" spans="1:13">
      <c r="A829">
        <v>823</v>
      </c>
      <c r="B829">
        <v>60906</v>
      </c>
      <c r="C829" t="s">
        <v>2039</v>
      </c>
      <c r="D829" t="s">
        <v>121</v>
      </c>
      <c r="E829" t="s">
        <v>2040</v>
      </c>
      <c r="F829" t="str">
        <f>"00222730"</f>
        <v>00222730</v>
      </c>
      <c r="G829" t="s">
        <v>47</v>
      </c>
      <c r="H829" t="s">
        <v>48</v>
      </c>
      <c r="I829">
        <v>1623</v>
      </c>
      <c r="J829" t="s">
        <v>21</v>
      </c>
      <c r="K829">
        <v>0</v>
      </c>
      <c r="M829">
        <v>1425</v>
      </c>
    </row>
    <row r="830" spans="1:13">
      <c r="A830">
        <v>824</v>
      </c>
      <c r="B830">
        <v>55121</v>
      </c>
      <c r="C830" t="s">
        <v>2041</v>
      </c>
      <c r="D830" t="s">
        <v>2042</v>
      </c>
      <c r="E830" t="s">
        <v>2043</v>
      </c>
      <c r="F830" t="str">
        <f>"00252037"</f>
        <v>00252037</v>
      </c>
      <c r="G830" t="s">
        <v>150</v>
      </c>
      <c r="H830" t="s">
        <v>151</v>
      </c>
      <c r="I830">
        <v>1699</v>
      </c>
      <c r="J830" t="s">
        <v>21</v>
      </c>
      <c r="K830">
        <v>0</v>
      </c>
      <c r="M830">
        <v>1408</v>
      </c>
    </row>
    <row r="831" spans="1:13">
      <c r="A831">
        <v>825</v>
      </c>
      <c r="B831">
        <v>89855</v>
      </c>
      <c r="C831" t="s">
        <v>2044</v>
      </c>
      <c r="D831" t="s">
        <v>80</v>
      </c>
      <c r="E831" t="s">
        <v>2045</v>
      </c>
      <c r="F831" t="str">
        <f>"00364253"</f>
        <v>00364253</v>
      </c>
      <c r="G831" t="s">
        <v>856</v>
      </c>
      <c r="H831" t="s">
        <v>366</v>
      </c>
      <c r="I831">
        <v>1706</v>
      </c>
      <c r="J831" t="s">
        <v>21</v>
      </c>
      <c r="K831">
        <v>0</v>
      </c>
      <c r="L831" t="s">
        <v>35</v>
      </c>
      <c r="M831">
        <v>908</v>
      </c>
    </row>
    <row r="832" spans="1:13">
      <c r="A832">
        <v>826</v>
      </c>
      <c r="B832">
        <v>61734</v>
      </c>
      <c r="C832" t="s">
        <v>2046</v>
      </c>
      <c r="D832" t="s">
        <v>492</v>
      </c>
      <c r="E832" t="s">
        <v>2047</v>
      </c>
      <c r="F832" t="str">
        <f>"00363869"</f>
        <v>00363869</v>
      </c>
      <c r="G832" t="s">
        <v>2048</v>
      </c>
      <c r="H832" t="s">
        <v>20</v>
      </c>
      <c r="I832">
        <v>1633</v>
      </c>
      <c r="J832" t="s">
        <v>21</v>
      </c>
      <c r="K832">
        <v>6</v>
      </c>
      <c r="L832" t="s">
        <v>35</v>
      </c>
      <c r="M832">
        <v>911</v>
      </c>
    </row>
    <row r="833" spans="1:13">
      <c r="A833">
        <v>827</v>
      </c>
      <c r="B833">
        <v>74581</v>
      </c>
      <c r="C833" t="s">
        <v>2049</v>
      </c>
      <c r="D833" t="s">
        <v>80</v>
      </c>
      <c r="E833" t="s">
        <v>2050</v>
      </c>
      <c r="F833" t="str">
        <f>"00407787"</f>
        <v>00407787</v>
      </c>
      <c r="G833" t="s">
        <v>371</v>
      </c>
      <c r="H833" t="s">
        <v>20</v>
      </c>
      <c r="I833">
        <v>1526</v>
      </c>
      <c r="J833" t="s">
        <v>21</v>
      </c>
      <c r="K833">
        <v>6</v>
      </c>
      <c r="M833">
        <v>1228</v>
      </c>
    </row>
    <row r="834" spans="1:13">
      <c r="A834">
        <v>828</v>
      </c>
      <c r="B834">
        <v>98471</v>
      </c>
      <c r="C834" t="s">
        <v>2051</v>
      </c>
      <c r="D834" t="s">
        <v>243</v>
      </c>
      <c r="E834" t="s">
        <v>2052</v>
      </c>
      <c r="F834" t="str">
        <f>"00059677"</f>
        <v>00059677</v>
      </c>
      <c r="G834" t="s">
        <v>696</v>
      </c>
      <c r="H834" t="s">
        <v>20</v>
      </c>
      <c r="I834">
        <v>1520</v>
      </c>
      <c r="J834" t="s">
        <v>21</v>
      </c>
      <c r="K834">
        <v>0</v>
      </c>
      <c r="L834" t="s">
        <v>83</v>
      </c>
      <c r="M834">
        <v>1253</v>
      </c>
    </row>
    <row r="835" spans="1:13">
      <c r="A835">
        <v>829</v>
      </c>
      <c r="B835">
        <v>67896</v>
      </c>
      <c r="C835" t="s">
        <v>2053</v>
      </c>
      <c r="D835" t="s">
        <v>145</v>
      </c>
      <c r="E835" t="s">
        <v>2054</v>
      </c>
      <c r="F835" t="str">
        <f>"00309192"</f>
        <v>00309192</v>
      </c>
      <c r="G835" t="s">
        <v>2055</v>
      </c>
      <c r="H835" t="s">
        <v>1296</v>
      </c>
      <c r="I835">
        <v>1637</v>
      </c>
      <c r="J835" t="s">
        <v>21</v>
      </c>
      <c r="K835">
        <v>0</v>
      </c>
      <c r="M835">
        <v>1391</v>
      </c>
    </row>
    <row r="836" spans="1:13">
      <c r="A836">
        <v>830</v>
      </c>
      <c r="B836">
        <v>51656</v>
      </c>
      <c r="C836" t="s">
        <v>2056</v>
      </c>
      <c r="D836" t="s">
        <v>373</v>
      </c>
      <c r="E836" t="s">
        <v>2057</v>
      </c>
      <c r="F836" t="str">
        <f>"201511018812"</f>
        <v>201511018812</v>
      </c>
      <c r="G836" t="s">
        <v>150</v>
      </c>
      <c r="H836" t="s">
        <v>151</v>
      </c>
      <c r="I836">
        <v>1699</v>
      </c>
      <c r="J836" t="s">
        <v>21</v>
      </c>
      <c r="K836">
        <v>0</v>
      </c>
      <c r="M836">
        <v>1497</v>
      </c>
    </row>
    <row r="837" spans="1:13">
      <c r="A837">
        <v>831</v>
      </c>
      <c r="B837">
        <v>83288</v>
      </c>
      <c r="C837" t="s">
        <v>2058</v>
      </c>
      <c r="D837" t="s">
        <v>105</v>
      </c>
      <c r="E837" t="s">
        <v>2059</v>
      </c>
      <c r="F837" t="str">
        <f>"00262521"</f>
        <v>00262521</v>
      </c>
      <c r="G837" t="s">
        <v>170</v>
      </c>
      <c r="H837" t="s">
        <v>20</v>
      </c>
      <c r="I837">
        <v>1412</v>
      </c>
      <c r="J837" t="s">
        <v>21</v>
      </c>
      <c r="K837">
        <v>0</v>
      </c>
      <c r="M837">
        <v>1361</v>
      </c>
    </row>
    <row r="838" spans="1:13">
      <c r="A838">
        <v>832</v>
      </c>
      <c r="B838">
        <v>96678</v>
      </c>
      <c r="C838" t="s">
        <v>2060</v>
      </c>
      <c r="D838" t="s">
        <v>90</v>
      </c>
      <c r="E838" t="s">
        <v>2061</v>
      </c>
      <c r="F838" t="str">
        <f>"00245121"</f>
        <v>00245121</v>
      </c>
      <c r="G838" t="s">
        <v>1705</v>
      </c>
      <c r="H838" t="s">
        <v>234</v>
      </c>
      <c r="I838">
        <v>1329</v>
      </c>
      <c r="J838" t="s">
        <v>21</v>
      </c>
      <c r="K838">
        <v>0</v>
      </c>
      <c r="L838" t="s">
        <v>35</v>
      </c>
      <c r="M838">
        <v>1308</v>
      </c>
    </row>
    <row r="839" spans="1:13">
      <c r="A839">
        <v>833</v>
      </c>
      <c r="B839">
        <v>114009</v>
      </c>
      <c r="C839" t="s">
        <v>2062</v>
      </c>
      <c r="D839" t="s">
        <v>139</v>
      </c>
      <c r="E839" t="s">
        <v>2063</v>
      </c>
      <c r="F839" t="str">
        <f>"00420727"</f>
        <v>00420727</v>
      </c>
      <c r="G839" t="s">
        <v>1602</v>
      </c>
      <c r="H839" t="s">
        <v>20</v>
      </c>
      <c r="I839">
        <v>1427</v>
      </c>
      <c r="J839" t="s">
        <v>21</v>
      </c>
      <c r="K839">
        <v>7</v>
      </c>
      <c r="M839">
        <v>1434</v>
      </c>
    </row>
    <row r="840" spans="1:13">
      <c r="A840">
        <v>834</v>
      </c>
      <c r="B840">
        <v>73313</v>
      </c>
      <c r="C840" t="s">
        <v>2064</v>
      </c>
      <c r="D840" t="s">
        <v>209</v>
      </c>
      <c r="E840" t="s">
        <v>2065</v>
      </c>
      <c r="F840" t="str">
        <f>"201511021634"</f>
        <v>201511021634</v>
      </c>
      <c r="G840" t="s">
        <v>111</v>
      </c>
      <c r="H840" t="s">
        <v>48</v>
      </c>
      <c r="I840">
        <v>1620</v>
      </c>
      <c r="J840" t="s">
        <v>21</v>
      </c>
      <c r="K840">
        <v>0</v>
      </c>
      <c r="L840" t="s">
        <v>35</v>
      </c>
      <c r="M840">
        <v>856</v>
      </c>
    </row>
    <row r="841" spans="1:13">
      <c r="A841">
        <v>835</v>
      </c>
      <c r="B841">
        <v>105625</v>
      </c>
      <c r="C841" t="s">
        <v>2066</v>
      </c>
      <c r="D841" t="s">
        <v>76</v>
      </c>
      <c r="E841" t="s">
        <v>2067</v>
      </c>
      <c r="F841" t="str">
        <f>"00085575"</f>
        <v>00085575</v>
      </c>
      <c r="G841" t="s">
        <v>19</v>
      </c>
      <c r="H841" t="s">
        <v>20</v>
      </c>
      <c r="I841">
        <v>1531</v>
      </c>
      <c r="J841" t="s">
        <v>21</v>
      </c>
      <c r="K841">
        <v>0</v>
      </c>
      <c r="M841">
        <v>1418</v>
      </c>
    </row>
    <row r="842" spans="1:13">
      <c r="A842">
        <v>836</v>
      </c>
      <c r="B842">
        <v>60388</v>
      </c>
      <c r="C842" t="s">
        <v>2068</v>
      </c>
      <c r="D842" t="s">
        <v>145</v>
      </c>
      <c r="E842" t="s">
        <v>2069</v>
      </c>
      <c r="F842" t="str">
        <f>"00328121"</f>
        <v>00328121</v>
      </c>
      <c r="G842" t="s">
        <v>713</v>
      </c>
      <c r="H842" t="s">
        <v>366</v>
      </c>
      <c r="I842">
        <v>1690</v>
      </c>
      <c r="J842" t="s">
        <v>21</v>
      </c>
      <c r="K842">
        <v>0</v>
      </c>
      <c r="M842">
        <v>1526</v>
      </c>
    </row>
    <row r="843" spans="1:13">
      <c r="A843">
        <v>837</v>
      </c>
      <c r="B843">
        <v>108371</v>
      </c>
      <c r="C843" t="s">
        <v>2070</v>
      </c>
      <c r="D843" t="s">
        <v>334</v>
      </c>
      <c r="E843" t="s">
        <v>2071</v>
      </c>
      <c r="F843" t="str">
        <f>"00422216"</f>
        <v>00422216</v>
      </c>
      <c r="G843" t="s">
        <v>2072</v>
      </c>
      <c r="H843" t="s">
        <v>20</v>
      </c>
      <c r="I843">
        <v>1459</v>
      </c>
      <c r="J843" t="s">
        <v>21</v>
      </c>
      <c r="K843">
        <v>0</v>
      </c>
      <c r="L843" t="s">
        <v>35</v>
      </c>
      <c r="M843">
        <v>1300</v>
      </c>
    </row>
    <row r="844" spans="1:13">
      <c r="A844">
        <v>838</v>
      </c>
      <c r="B844">
        <v>48359</v>
      </c>
      <c r="C844" t="s">
        <v>2073</v>
      </c>
      <c r="D844" t="s">
        <v>76</v>
      </c>
      <c r="E844" t="s">
        <v>2074</v>
      </c>
      <c r="F844" t="str">
        <f>"00372106"</f>
        <v>00372106</v>
      </c>
      <c r="G844" t="s">
        <v>600</v>
      </c>
      <c r="H844" t="s">
        <v>234</v>
      </c>
      <c r="I844">
        <v>1337</v>
      </c>
      <c r="J844" t="s">
        <v>21</v>
      </c>
      <c r="K844">
        <v>0</v>
      </c>
      <c r="L844" t="s">
        <v>88</v>
      </c>
      <c r="M844">
        <v>800</v>
      </c>
    </row>
    <row r="845" spans="1:13">
      <c r="A845">
        <v>839</v>
      </c>
      <c r="B845">
        <v>82615</v>
      </c>
      <c r="C845" t="s">
        <v>2075</v>
      </c>
      <c r="D845" t="s">
        <v>90</v>
      </c>
      <c r="E845" t="s">
        <v>2076</v>
      </c>
      <c r="F845" t="str">
        <f>"00402632"</f>
        <v>00402632</v>
      </c>
      <c r="G845" t="s">
        <v>47</v>
      </c>
      <c r="H845" t="s">
        <v>48</v>
      </c>
      <c r="I845">
        <v>1623</v>
      </c>
      <c r="J845" t="s">
        <v>21</v>
      </c>
      <c r="K845">
        <v>0</v>
      </c>
      <c r="L845" t="s">
        <v>59</v>
      </c>
      <c r="M845">
        <v>968</v>
      </c>
    </row>
    <row r="846" spans="1:13">
      <c r="A846">
        <v>840</v>
      </c>
      <c r="B846">
        <v>90029</v>
      </c>
      <c r="C846" t="s">
        <v>2077</v>
      </c>
      <c r="D846" t="s">
        <v>145</v>
      </c>
      <c r="E846" t="s">
        <v>2078</v>
      </c>
      <c r="F846" t="str">
        <f>"00376040"</f>
        <v>00376040</v>
      </c>
      <c r="G846" t="s">
        <v>1764</v>
      </c>
      <c r="H846" t="s">
        <v>20</v>
      </c>
      <c r="I846">
        <v>1532</v>
      </c>
      <c r="J846" t="s">
        <v>21</v>
      </c>
      <c r="K846">
        <v>0</v>
      </c>
      <c r="L846" t="s">
        <v>35</v>
      </c>
      <c r="M846">
        <v>908</v>
      </c>
    </row>
    <row r="847" spans="1:13">
      <c r="A847">
        <v>841</v>
      </c>
      <c r="B847">
        <v>88004</v>
      </c>
      <c r="C847" t="s">
        <v>2079</v>
      </c>
      <c r="D847" t="s">
        <v>218</v>
      </c>
      <c r="E847" t="s">
        <v>2080</v>
      </c>
      <c r="F847" t="str">
        <f>"00401710"</f>
        <v>00401710</v>
      </c>
      <c r="G847" t="s">
        <v>2081</v>
      </c>
      <c r="H847" t="s">
        <v>20</v>
      </c>
      <c r="I847">
        <v>1417</v>
      </c>
      <c r="J847" t="s">
        <v>21</v>
      </c>
      <c r="K847">
        <v>0</v>
      </c>
      <c r="L847" t="s">
        <v>35</v>
      </c>
      <c r="M847">
        <v>1272</v>
      </c>
    </row>
    <row r="848" spans="1:13">
      <c r="A848">
        <v>842</v>
      </c>
      <c r="B848">
        <v>89205</v>
      </c>
      <c r="C848" t="s">
        <v>2082</v>
      </c>
      <c r="D848" t="s">
        <v>80</v>
      </c>
      <c r="E848" t="s">
        <v>2083</v>
      </c>
      <c r="F848" t="str">
        <f>"00393582"</f>
        <v>00393582</v>
      </c>
      <c r="G848" t="s">
        <v>258</v>
      </c>
      <c r="H848" t="s">
        <v>20</v>
      </c>
      <c r="I848">
        <v>1484</v>
      </c>
      <c r="J848" t="s">
        <v>21</v>
      </c>
      <c r="K848">
        <v>0</v>
      </c>
      <c r="L848" t="s">
        <v>35</v>
      </c>
      <c r="M848">
        <v>858</v>
      </c>
    </row>
    <row r="849" spans="1:13">
      <c r="A849">
        <v>843</v>
      </c>
      <c r="B849">
        <v>61819</v>
      </c>
      <c r="C849" t="s">
        <v>2084</v>
      </c>
      <c r="D849" t="s">
        <v>90</v>
      </c>
      <c r="E849" t="s">
        <v>2085</v>
      </c>
      <c r="F849" t="str">
        <f>"201405001066"</f>
        <v>201405001066</v>
      </c>
      <c r="G849" t="s">
        <v>107</v>
      </c>
      <c r="H849" t="s">
        <v>20</v>
      </c>
      <c r="I849">
        <v>1472</v>
      </c>
      <c r="J849" t="s">
        <v>21</v>
      </c>
      <c r="K849">
        <v>0</v>
      </c>
      <c r="L849" t="s">
        <v>59</v>
      </c>
      <c r="M849">
        <v>1088</v>
      </c>
    </row>
    <row r="850" spans="1:13">
      <c r="A850">
        <v>844</v>
      </c>
      <c r="B850">
        <v>83060</v>
      </c>
      <c r="C850" t="s">
        <v>2086</v>
      </c>
      <c r="D850" t="s">
        <v>80</v>
      </c>
      <c r="E850" t="s">
        <v>2087</v>
      </c>
      <c r="F850" t="str">
        <f>"00368365"</f>
        <v>00368365</v>
      </c>
      <c r="G850" t="s">
        <v>1830</v>
      </c>
      <c r="H850" t="s">
        <v>20</v>
      </c>
      <c r="I850">
        <v>1521</v>
      </c>
      <c r="J850" t="s">
        <v>21</v>
      </c>
      <c r="K850">
        <v>0</v>
      </c>
      <c r="L850" t="s">
        <v>35</v>
      </c>
      <c r="M850">
        <v>1108</v>
      </c>
    </row>
    <row r="851" spans="1:13">
      <c r="A851">
        <v>845</v>
      </c>
      <c r="B851">
        <v>81982</v>
      </c>
      <c r="C851" t="s">
        <v>2088</v>
      </c>
      <c r="D851" t="s">
        <v>80</v>
      </c>
      <c r="E851" t="s">
        <v>2089</v>
      </c>
      <c r="F851" t="str">
        <f>"00380178"</f>
        <v>00380178</v>
      </c>
      <c r="G851" t="s">
        <v>29</v>
      </c>
      <c r="H851" t="s">
        <v>20</v>
      </c>
      <c r="I851">
        <v>1446</v>
      </c>
      <c r="J851" t="s">
        <v>21</v>
      </c>
      <c r="K851">
        <v>0</v>
      </c>
      <c r="L851" t="s">
        <v>59</v>
      </c>
      <c r="M851">
        <v>998</v>
      </c>
    </row>
    <row r="852" spans="1:13">
      <c r="A852">
        <v>846</v>
      </c>
      <c r="B852">
        <v>92127</v>
      </c>
      <c r="C852" t="s">
        <v>2090</v>
      </c>
      <c r="D852" t="s">
        <v>243</v>
      </c>
      <c r="E852" t="s">
        <v>2091</v>
      </c>
      <c r="F852" t="str">
        <f>"00407904"</f>
        <v>00407904</v>
      </c>
      <c r="G852" t="s">
        <v>190</v>
      </c>
      <c r="H852" t="s">
        <v>191</v>
      </c>
      <c r="I852">
        <v>1618</v>
      </c>
      <c r="J852" t="s">
        <v>21</v>
      </c>
      <c r="K852">
        <v>0</v>
      </c>
      <c r="L852" t="s">
        <v>83</v>
      </c>
      <c r="M852">
        <v>1228</v>
      </c>
    </row>
    <row r="853" spans="1:13">
      <c r="A853">
        <v>847</v>
      </c>
      <c r="B853">
        <v>55630</v>
      </c>
      <c r="C853" t="s">
        <v>2092</v>
      </c>
      <c r="D853" t="s">
        <v>145</v>
      </c>
      <c r="E853" t="s">
        <v>2093</v>
      </c>
      <c r="F853" t="str">
        <f>"00274149"</f>
        <v>00274149</v>
      </c>
      <c r="G853" t="s">
        <v>2094</v>
      </c>
      <c r="H853" t="s">
        <v>234</v>
      </c>
      <c r="I853">
        <v>1331</v>
      </c>
      <c r="J853" t="s">
        <v>21</v>
      </c>
      <c r="K853">
        <v>7</v>
      </c>
      <c r="M853">
        <v>1688</v>
      </c>
    </row>
    <row r="854" spans="1:13">
      <c r="A854">
        <v>848</v>
      </c>
      <c r="B854">
        <v>109904</v>
      </c>
      <c r="C854" t="s">
        <v>2095</v>
      </c>
      <c r="D854" t="s">
        <v>130</v>
      </c>
      <c r="E854" t="s">
        <v>2096</v>
      </c>
      <c r="F854" t="str">
        <f>"00386739"</f>
        <v>00386739</v>
      </c>
      <c r="G854" t="s">
        <v>150</v>
      </c>
      <c r="H854" t="s">
        <v>151</v>
      </c>
      <c r="I854">
        <v>1699</v>
      </c>
      <c r="J854" t="s">
        <v>21</v>
      </c>
      <c r="K854">
        <v>0</v>
      </c>
      <c r="L854" t="s">
        <v>35</v>
      </c>
      <c r="M854">
        <v>908</v>
      </c>
    </row>
    <row r="855" spans="1:13">
      <c r="A855">
        <v>849</v>
      </c>
      <c r="B855">
        <v>93530</v>
      </c>
      <c r="C855" t="s">
        <v>2097</v>
      </c>
      <c r="D855" t="s">
        <v>180</v>
      </c>
      <c r="E855" t="s">
        <v>2098</v>
      </c>
      <c r="F855" t="str">
        <f>"00405944"</f>
        <v>00405944</v>
      </c>
      <c r="G855" t="s">
        <v>520</v>
      </c>
      <c r="H855" t="s">
        <v>20</v>
      </c>
      <c r="I855">
        <v>1540</v>
      </c>
      <c r="J855" t="s">
        <v>21</v>
      </c>
      <c r="K855">
        <v>0</v>
      </c>
      <c r="M855">
        <v>1528</v>
      </c>
    </row>
    <row r="856" spans="1:13">
      <c r="A856">
        <v>850</v>
      </c>
      <c r="B856">
        <v>89056</v>
      </c>
      <c r="C856" t="s">
        <v>2099</v>
      </c>
      <c r="D856" t="s">
        <v>80</v>
      </c>
      <c r="E856" t="s">
        <v>2100</v>
      </c>
      <c r="F856" t="str">
        <f>"00312368"</f>
        <v>00312368</v>
      </c>
      <c r="G856" t="s">
        <v>125</v>
      </c>
      <c r="H856" t="s">
        <v>274</v>
      </c>
      <c r="I856">
        <v>1386</v>
      </c>
      <c r="J856" t="s">
        <v>21</v>
      </c>
      <c r="K856">
        <v>0</v>
      </c>
      <c r="L856" t="s">
        <v>35</v>
      </c>
      <c r="M856">
        <v>1300</v>
      </c>
    </row>
    <row r="857" spans="1:13">
      <c r="A857">
        <v>851</v>
      </c>
      <c r="B857">
        <v>103200</v>
      </c>
      <c r="C857" t="s">
        <v>2101</v>
      </c>
      <c r="D857" t="s">
        <v>76</v>
      </c>
      <c r="E857" t="s">
        <v>2102</v>
      </c>
      <c r="F857" t="str">
        <f>"00388733"</f>
        <v>00388733</v>
      </c>
      <c r="G857" t="s">
        <v>200</v>
      </c>
      <c r="H857" t="s">
        <v>20</v>
      </c>
      <c r="I857">
        <v>1492</v>
      </c>
      <c r="J857" t="s">
        <v>21</v>
      </c>
      <c r="K857">
        <v>0</v>
      </c>
      <c r="L857" t="s">
        <v>35</v>
      </c>
      <c r="M857">
        <v>908</v>
      </c>
    </row>
    <row r="858" spans="1:13">
      <c r="A858">
        <v>852</v>
      </c>
      <c r="B858">
        <v>80542</v>
      </c>
      <c r="C858" t="s">
        <v>2103</v>
      </c>
      <c r="D858" t="s">
        <v>76</v>
      </c>
      <c r="E858" t="s">
        <v>2104</v>
      </c>
      <c r="F858" t="str">
        <f>"00315082"</f>
        <v>00315082</v>
      </c>
      <c r="G858" t="s">
        <v>63</v>
      </c>
      <c r="H858" t="s">
        <v>20</v>
      </c>
      <c r="I858">
        <v>1576</v>
      </c>
      <c r="J858" t="s">
        <v>21</v>
      </c>
      <c r="K858">
        <v>0</v>
      </c>
      <c r="M858">
        <v>1328</v>
      </c>
    </row>
    <row r="859" spans="1:13">
      <c r="A859">
        <v>853</v>
      </c>
      <c r="B859">
        <v>100201</v>
      </c>
      <c r="C859" t="s">
        <v>2105</v>
      </c>
      <c r="D859" t="s">
        <v>180</v>
      </c>
      <c r="E859" t="s">
        <v>2106</v>
      </c>
      <c r="F859" t="str">
        <f>"00398142"</f>
        <v>00398142</v>
      </c>
      <c r="G859" t="s">
        <v>19</v>
      </c>
      <c r="H859" t="s">
        <v>20</v>
      </c>
      <c r="I859">
        <v>1531</v>
      </c>
      <c r="J859" t="s">
        <v>21</v>
      </c>
      <c r="K859">
        <v>0</v>
      </c>
      <c r="L859" t="s">
        <v>88</v>
      </c>
      <c r="M859">
        <v>675</v>
      </c>
    </row>
    <row r="860" spans="1:13">
      <c r="A860">
        <v>854</v>
      </c>
      <c r="B860">
        <v>94873</v>
      </c>
      <c r="C860" t="s">
        <v>2107</v>
      </c>
      <c r="D860" t="s">
        <v>373</v>
      </c>
      <c r="E860" t="s">
        <v>2108</v>
      </c>
      <c r="F860" t="str">
        <f>"201511034892"</f>
        <v>201511034892</v>
      </c>
      <c r="G860" t="s">
        <v>125</v>
      </c>
      <c r="H860" t="s">
        <v>20</v>
      </c>
      <c r="I860">
        <v>1507</v>
      </c>
      <c r="J860" t="s">
        <v>21</v>
      </c>
      <c r="K860">
        <v>0</v>
      </c>
      <c r="L860" t="s">
        <v>88</v>
      </c>
      <c r="M860">
        <v>675</v>
      </c>
    </row>
    <row r="861" spans="1:13">
      <c r="A861">
        <v>855</v>
      </c>
      <c r="B861">
        <v>94485</v>
      </c>
      <c r="C861" t="s">
        <v>2109</v>
      </c>
      <c r="D861" t="s">
        <v>238</v>
      </c>
      <c r="E861" t="s">
        <v>2110</v>
      </c>
      <c r="F861" t="str">
        <f>"00346025"</f>
        <v>00346025</v>
      </c>
      <c r="G861" t="s">
        <v>245</v>
      </c>
      <c r="H861" t="s">
        <v>20</v>
      </c>
      <c r="I861">
        <v>1406</v>
      </c>
      <c r="J861" t="s">
        <v>21</v>
      </c>
      <c r="K861">
        <v>0</v>
      </c>
      <c r="L861" t="s">
        <v>59</v>
      </c>
      <c r="M861">
        <v>1092</v>
      </c>
    </row>
    <row r="862" spans="1:13">
      <c r="A862">
        <v>856</v>
      </c>
      <c r="B862">
        <v>50315</v>
      </c>
      <c r="C862" t="s">
        <v>2111</v>
      </c>
      <c r="D862" t="s">
        <v>700</v>
      </c>
      <c r="E862" t="s">
        <v>2112</v>
      </c>
      <c r="F862" t="str">
        <f>"201511018537"</f>
        <v>201511018537</v>
      </c>
      <c r="G862" t="s">
        <v>38</v>
      </c>
      <c r="H862" t="s">
        <v>39</v>
      </c>
      <c r="I862">
        <v>1634</v>
      </c>
      <c r="J862" t="s">
        <v>21</v>
      </c>
      <c r="K862">
        <v>6</v>
      </c>
      <c r="L862" t="s">
        <v>83</v>
      </c>
      <c r="M862">
        <v>988</v>
      </c>
    </row>
    <row r="863" spans="1:13">
      <c r="A863">
        <v>857</v>
      </c>
      <c r="B863">
        <v>69967</v>
      </c>
      <c r="C863" t="s">
        <v>2113</v>
      </c>
      <c r="D863" t="s">
        <v>121</v>
      </c>
      <c r="E863" t="s">
        <v>2114</v>
      </c>
      <c r="F863" t="str">
        <f>"00392864"</f>
        <v>00392864</v>
      </c>
      <c r="G863" t="s">
        <v>365</v>
      </c>
      <c r="H863" t="s">
        <v>366</v>
      </c>
      <c r="I863">
        <v>1692</v>
      </c>
      <c r="J863" t="s">
        <v>21</v>
      </c>
      <c r="K863">
        <v>0</v>
      </c>
      <c r="L863" t="s">
        <v>59</v>
      </c>
      <c r="M863">
        <v>988</v>
      </c>
    </row>
    <row r="864" spans="1:13">
      <c r="A864">
        <v>858</v>
      </c>
      <c r="B864">
        <v>71200</v>
      </c>
      <c r="C864" t="s">
        <v>2115</v>
      </c>
      <c r="D864" t="s">
        <v>80</v>
      </c>
      <c r="E864" t="s">
        <v>2116</v>
      </c>
      <c r="F864" t="str">
        <f>"00392819"</f>
        <v>00392819</v>
      </c>
      <c r="G864" t="s">
        <v>763</v>
      </c>
      <c r="H864" t="s">
        <v>20</v>
      </c>
      <c r="I864">
        <v>1430</v>
      </c>
      <c r="J864" t="s">
        <v>21</v>
      </c>
      <c r="K864">
        <v>0</v>
      </c>
      <c r="L864" t="s">
        <v>35</v>
      </c>
      <c r="M864">
        <v>1108</v>
      </c>
    </row>
    <row r="865" spans="1:13">
      <c r="A865">
        <v>859</v>
      </c>
      <c r="B865">
        <v>105830</v>
      </c>
      <c r="C865" t="s">
        <v>2117</v>
      </c>
      <c r="D865" t="s">
        <v>105</v>
      </c>
      <c r="E865" t="s">
        <v>2118</v>
      </c>
      <c r="F865" t="str">
        <f>"00382454"</f>
        <v>00382454</v>
      </c>
      <c r="G865" t="s">
        <v>994</v>
      </c>
      <c r="H865" t="s">
        <v>20</v>
      </c>
      <c r="I865">
        <v>1522</v>
      </c>
      <c r="J865" t="s">
        <v>21</v>
      </c>
      <c r="K865">
        <v>0</v>
      </c>
      <c r="L865" t="s">
        <v>35</v>
      </c>
      <c r="M865">
        <v>1108</v>
      </c>
    </row>
    <row r="866" spans="1:13">
      <c r="A866">
        <v>860</v>
      </c>
      <c r="B866">
        <v>81735</v>
      </c>
      <c r="C866" t="s">
        <v>2119</v>
      </c>
      <c r="D866" t="s">
        <v>218</v>
      </c>
      <c r="E866" t="s">
        <v>2120</v>
      </c>
      <c r="F866" t="str">
        <f>"201511014883"</f>
        <v>201511014883</v>
      </c>
      <c r="G866" t="s">
        <v>1561</v>
      </c>
      <c r="H866" t="s">
        <v>1562</v>
      </c>
      <c r="I866">
        <v>1616</v>
      </c>
      <c r="J866" t="s">
        <v>21</v>
      </c>
      <c r="K866">
        <v>0</v>
      </c>
      <c r="M866">
        <v>1492</v>
      </c>
    </row>
    <row r="867" spans="1:13">
      <c r="A867">
        <v>861</v>
      </c>
      <c r="B867">
        <v>67772</v>
      </c>
      <c r="C867" t="s">
        <v>2121</v>
      </c>
      <c r="D867" t="s">
        <v>80</v>
      </c>
      <c r="E867" t="s">
        <v>2122</v>
      </c>
      <c r="F867" t="str">
        <f>"201511006352"</f>
        <v>201511006352</v>
      </c>
      <c r="G867" t="s">
        <v>883</v>
      </c>
      <c r="H867" t="s">
        <v>270</v>
      </c>
      <c r="I867">
        <v>1585</v>
      </c>
      <c r="J867" t="s">
        <v>21</v>
      </c>
      <c r="K867">
        <v>0</v>
      </c>
      <c r="L867" t="s">
        <v>83</v>
      </c>
      <c r="M867">
        <v>1228</v>
      </c>
    </row>
    <row r="868" spans="1:13">
      <c r="A868">
        <v>862</v>
      </c>
      <c r="B868">
        <v>63326</v>
      </c>
      <c r="C868" t="s">
        <v>2123</v>
      </c>
      <c r="D868" t="s">
        <v>566</v>
      </c>
      <c r="E868" t="s">
        <v>2124</v>
      </c>
      <c r="F868" t="str">
        <f>"200803001097"</f>
        <v>200803001097</v>
      </c>
      <c r="G868" t="s">
        <v>125</v>
      </c>
      <c r="H868" t="s">
        <v>20</v>
      </c>
      <c r="I868">
        <v>1507</v>
      </c>
      <c r="J868" t="s">
        <v>21</v>
      </c>
      <c r="K868">
        <v>0</v>
      </c>
      <c r="L868" t="s">
        <v>83</v>
      </c>
      <c r="M868">
        <v>1291</v>
      </c>
    </row>
    <row r="869" spans="1:13">
      <c r="A869">
        <v>863</v>
      </c>
      <c r="B869">
        <v>89744</v>
      </c>
      <c r="C869" t="s">
        <v>2125</v>
      </c>
      <c r="D869" t="s">
        <v>90</v>
      </c>
      <c r="E869" t="s">
        <v>2126</v>
      </c>
      <c r="F869" t="str">
        <f>"00085489"</f>
        <v>00085489</v>
      </c>
      <c r="G869" t="s">
        <v>47</v>
      </c>
      <c r="H869" t="s">
        <v>48</v>
      </c>
      <c r="I869">
        <v>1623</v>
      </c>
      <c r="J869" t="s">
        <v>21</v>
      </c>
      <c r="K869">
        <v>0</v>
      </c>
      <c r="L869" t="s">
        <v>83</v>
      </c>
      <c r="M869">
        <v>1268</v>
      </c>
    </row>
    <row r="870" spans="1:13">
      <c r="A870">
        <v>864</v>
      </c>
      <c r="B870">
        <v>108683</v>
      </c>
      <c r="C870" t="s">
        <v>2127</v>
      </c>
      <c r="D870" t="s">
        <v>153</v>
      </c>
      <c r="E870" t="s">
        <v>2128</v>
      </c>
      <c r="F870" t="str">
        <f>"00410997"</f>
        <v>00410997</v>
      </c>
      <c r="G870" t="s">
        <v>100</v>
      </c>
      <c r="H870" t="s">
        <v>20</v>
      </c>
      <c r="I870">
        <v>1468</v>
      </c>
      <c r="J870" t="s">
        <v>21</v>
      </c>
      <c r="K870">
        <v>0</v>
      </c>
      <c r="L870" t="s">
        <v>35</v>
      </c>
      <c r="M870">
        <v>1108</v>
      </c>
    </row>
    <row r="871" spans="1:13">
      <c r="A871">
        <v>865</v>
      </c>
      <c r="B871">
        <v>66472</v>
      </c>
      <c r="C871" t="s">
        <v>2129</v>
      </c>
      <c r="D871" t="s">
        <v>2130</v>
      </c>
      <c r="E871" t="s">
        <v>2131</v>
      </c>
      <c r="F871" t="str">
        <f>"00408248"</f>
        <v>00408248</v>
      </c>
      <c r="G871" t="s">
        <v>107</v>
      </c>
      <c r="H871" t="s">
        <v>20</v>
      </c>
      <c r="I871">
        <v>1472</v>
      </c>
      <c r="J871" t="s">
        <v>21</v>
      </c>
      <c r="K871">
        <v>0</v>
      </c>
      <c r="L871" t="s">
        <v>35</v>
      </c>
      <c r="M871">
        <v>1008</v>
      </c>
    </row>
    <row r="872" spans="1:13">
      <c r="A872">
        <v>866</v>
      </c>
      <c r="B872">
        <v>91467</v>
      </c>
      <c r="C872" t="s">
        <v>2132</v>
      </c>
      <c r="D872" t="s">
        <v>76</v>
      </c>
      <c r="E872" t="s">
        <v>2133</v>
      </c>
      <c r="F872" t="str">
        <f>"00391552"</f>
        <v>00391552</v>
      </c>
      <c r="G872" t="s">
        <v>1561</v>
      </c>
      <c r="H872" t="s">
        <v>1562</v>
      </c>
      <c r="I872">
        <v>1616</v>
      </c>
      <c r="J872" t="s">
        <v>21</v>
      </c>
      <c r="K872">
        <v>0</v>
      </c>
      <c r="M872">
        <v>1388</v>
      </c>
    </row>
    <row r="873" spans="1:13">
      <c r="A873">
        <v>867</v>
      </c>
      <c r="B873">
        <v>89969</v>
      </c>
      <c r="C873" t="s">
        <v>2134</v>
      </c>
      <c r="D873" t="s">
        <v>145</v>
      </c>
      <c r="E873" t="s">
        <v>2135</v>
      </c>
      <c r="F873" t="str">
        <f>"00398115"</f>
        <v>00398115</v>
      </c>
      <c r="G873" t="s">
        <v>147</v>
      </c>
      <c r="H873" t="s">
        <v>20</v>
      </c>
      <c r="I873">
        <v>1529</v>
      </c>
      <c r="J873" t="s">
        <v>21</v>
      </c>
      <c r="K873">
        <v>0</v>
      </c>
      <c r="L873" t="s">
        <v>35</v>
      </c>
      <c r="M873">
        <v>1058</v>
      </c>
    </row>
    <row r="874" spans="1:13">
      <c r="A874">
        <v>868</v>
      </c>
      <c r="B874">
        <v>69313</v>
      </c>
      <c r="C874" t="s">
        <v>2136</v>
      </c>
      <c r="D874" t="s">
        <v>121</v>
      </c>
      <c r="E874" t="s">
        <v>2137</v>
      </c>
      <c r="F874" t="str">
        <f>"00029482"</f>
        <v>00029482</v>
      </c>
      <c r="G874" t="s">
        <v>718</v>
      </c>
      <c r="H874" t="s">
        <v>48</v>
      </c>
      <c r="I874">
        <v>1625</v>
      </c>
      <c r="J874" t="s">
        <v>21</v>
      </c>
      <c r="K874">
        <v>0</v>
      </c>
      <c r="M874">
        <v>1493</v>
      </c>
    </row>
    <row r="875" spans="1:13">
      <c r="A875">
        <v>869</v>
      </c>
      <c r="B875">
        <v>54331</v>
      </c>
      <c r="C875" t="s">
        <v>2138</v>
      </c>
      <c r="D875" t="s">
        <v>557</v>
      </c>
      <c r="E875" t="s">
        <v>2139</v>
      </c>
      <c r="F875" t="str">
        <f>"00031613"</f>
        <v>00031613</v>
      </c>
      <c r="G875" t="s">
        <v>1079</v>
      </c>
      <c r="H875" t="s">
        <v>20</v>
      </c>
      <c r="I875">
        <v>1433</v>
      </c>
      <c r="J875" t="s">
        <v>21</v>
      </c>
      <c r="K875">
        <v>0</v>
      </c>
      <c r="L875" t="s">
        <v>35</v>
      </c>
      <c r="M875">
        <v>957</v>
      </c>
    </row>
    <row r="876" spans="1:13">
      <c r="A876">
        <v>870</v>
      </c>
      <c r="B876">
        <v>88686</v>
      </c>
      <c r="C876" t="s">
        <v>2140</v>
      </c>
      <c r="D876" t="s">
        <v>130</v>
      </c>
      <c r="E876" t="s">
        <v>2141</v>
      </c>
      <c r="F876" t="str">
        <f>"00395623"</f>
        <v>00395623</v>
      </c>
      <c r="G876" t="s">
        <v>2142</v>
      </c>
      <c r="H876" t="s">
        <v>20</v>
      </c>
      <c r="I876">
        <v>1423</v>
      </c>
      <c r="J876" t="s">
        <v>21</v>
      </c>
      <c r="K876">
        <v>0</v>
      </c>
      <c r="L876" t="s">
        <v>59</v>
      </c>
      <c r="M876">
        <v>988</v>
      </c>
    </row>
    <row r="877" spans="1:13">
      <c r="A877">
        <v>871</v>
      </c>
      <c r="B877">
        <v>70167</v>
      </c>
      <c r="C877" t="s">
        <v>2143</v>
      </c>
      <c r="D877" t="s">
        <v>80</v>
      </c>
      <c r="E877" t="s">
        <v>2144</v>
      </c>
      <c r="F877" t="str">
        <f>"00085862"</f>
        <v>00085862</v>
      </c>
      <c r="G877" t="s">
        <v>2145</v>
      </c>
      <c r="H877" t="s">
        <v>366</v>
      </c>
      <c r="I877">
        <v>1693</v>
      </c>
      <c r="J877" t="s">
        <v>21</v>
      </c>
      <c r="K877">
        <v>6</v>
      </c>
      <c r="M877">
        <v>1217</v>
      </c>
    </row>
    <row r="878" spans="1:13">
      <c r="A878">
        <v>872</v>
      </c>
      <c r="B878">
        <v>56792</v>
      </c>
      <c r="C878" t="s">
        <v>2146</v>
      </c>
      <c r="D878" t="s">
        <v>90</v>
      </c>
      <c r="E878" t="s">
        <v>2147</v>
      </c>
      <c r="F878" t="str">
        <f>"00376409"</f>
        <v>00376409</v>
      </c>
      <c r="G878" t="s">
        <v>211</v>
      </c>
      <c r="H878" t="s">
        <v>2148</v>
      </c>
      <c r="I878">
        <v>1600</v>
      </c>
      <c r="J878" t="s">
        <v>21</v>
      </c>
      <c r="K878">
        <v>0</v>
      </c>
      <c r="L878" t="s">
        <v>35</v>
      </c>
      <c r="M878">
        <v>915</v>
      </c>
    </row>
    <row r="879" spans="1:13">
      <c r="A879">
        <v>873</v>
      </c>
      <c r="B879">
        <v>68257</v>
      </c>
      <c r="C879" t="s">
        <v>2149</v>
      </c>
      <c r="D879" t="s">
        <v>121</v>
      </c>
      <c r="E879" t="s">
        <v>2150</v>
      </c>
      <c r="F879" t="str">
        <f>"00391337"</f>
        <v>00391337</v>
      </c>
      <c r="G879" t="s">
        <v>583</v>
      </c>
      <c r="H879" t="s">
        <v>137</v>
      </c>
      <c r="I879">
        <v>1601</v>
      </c>
      <c r="J879" t="s">
        <v>21</v>
      </c>
      <c r="K879">
        <v>0</v>
      </c>
      <c r="M879">
        <v>1478</v>
      </c>
    </row>
    <row r="880" spans="1:13">
      <c r="A880">
        <v>874</v>
      </c>
      <c r="B880">
        <v>72585</v>
      </c>
      <c r="C880" t="s">
        <v>2151</v>
      </c>
      <c r="D880" t="s">
        <v>205</v>
      </c>
      <c r="E880" t="s">
        <v>2152</v>
      </c>
      <c r="F880" t="str">
        <f>"00400911"</f>
        <v>00400911</v>
      </c>
      <c r="G880" t="s">
        <v>1595</v>
      </c>
      <c r="H880" t="s">
        <v>20</v>
      </c>
      <c r="I880">
        <v>1538</v>
      </c>
      <c r="J880" t="s">
        <v>21</v>
      </c>
      <c r="K880">
        <v>6</v>
      </c>
      <c r="M880">
        <v>1208</v>
      </c>
    </row>
    <row r="881" spans="1:13">
      <c r="A881">
        <v>875</v>
      </c>
      <c r="B881">
        <v>105535</v>
      </c>
      <c r="C881" t="s">
        <v>2153</v>
      </c>
      <c r="D881" t="s">
        <v>105</v>
      </c>
      <c r="E881" t="s">
        <v>2154</v>
      </c>
      <c r="F881" t="str">
        <f>"201511016899"</f>
        <v>201511016899</v>
      </c>
      <c r="G881" t="s">
        <v>955</v>
      </c>
      <c r="H881" t="s">
        <v>48</v>
      </c>
      <c r="I881">
        <v>1630</v>
      </c>
      <c r="J881" t="s">
        <v>21</v>
      </c>
      <c r="K881">
        <v>0</v>
      </c>
      <c r="M881">
        <v>1288</v>
      </c>
    </row>
    <row r="882" spans="1:13">
      <c r="A882">
        <v>876</v>
      </c>
      <c r="B882">
        <v>101917</v>
      </c>
      <c r="C882" t="s">
        <v>2155</v>
      </c>
      <c r="D882" t="s">
        <v>121</v>
      </c>
      <c r="E882" t="s">
        <v>2156</v>
      </c>
      <c r="F882" t="str">
        <f>"00401388"</f>
        <v>00401388</v>
      </c>
      <c r="G882" t="s">
        <v>38</v>
      </c>
      <c r="H882" t="s">
        <v>39</v>
      </c>
      <c r="I882">
        <v>1634</v>
      </c>
      <c r="J882" t="s">
        <v>21</v>
      </c>
      <c r="K882">
        <v>6</v>
      </c>
      <c r="M882">
        <v>1128</v>
      </c>
    </row>
    <row r="883" spans="1:13">
      <c r="A883">
        <v>877</v>
      </c>
      <c r="B883">
        <v>55650</v>
      </c>
      <c r="C883" t="s">
        <v>2157</v>
      </c>
      <c r="D883" t="s">
        <v>2158</v>
      </c>
      <c r="E883" t="s">
        <v>2159</v>
      </c>
      <c r="F883" t="str">
        <f>"201007000019"</f>
        <v>201007000019</v>
      </c>
      <c r="G883" t="s">
        <v>804</v>
      </c>
      <c r="H883" t="s">
        <v>535</v>
      </c>
      <c r="I883">
        <v>1353</v>
      </c>
      <c r="J883" t="s">
        <v>21</v>
      </c>
      <c r="K883">
        <v>0</v>
      </c>
      <c r="L883" t="s">
        <v>35</v>
      </c>
      <c r="M883">
        <v>970</v>
      </c>
    </row>
    <row r="884" spans="1:13">
      <c r="A884">
        <v>878</v>
      </c>
      <c r="B884">
        <v>95868</v>
      </c>
      <c r="C884" t="s">
        <v>2160</v>
      </c>
      <c r="D884" t="s">
        <v>117</v>
      </c>
      <c r="E884" t="s">
        <v>2161</v>
      </c>
      <c r="F884" t="str">
        <f>"00395987"</f>
        <v>00395987</v>
      </c>
      <c r="G884" t="s">
        <v>107</v>
      </c>
      <c r="H884" t="s">
        <v>20</v>
      </c>
      <c r="I884">
        <v>1472</v>
      </c>
      <c r="J884" t="s">
        <v>21</v>
      </c>
      <c r="K884">
        <v>0</v>
      </c>
      <c r="M884">
        <v>1551</v>
      </c>
    </row>
    <row r="885" spans="1:13">
      <c r="A885">
        <v>879</v>
      </c>
      <c r="B885">
        <v>110433</v>
      </c>
      <c r="C885" t="s">
        <v>2162</v>
      </c>
      <c r="D885" t="s">
        <v>94</v>
      </c>
      <c r="E885" t="s">
        <v>2163</v>
      </c>
      <c r="F885" t="str">
        <f>"00383422"</f>
        <v>00383422</v>
      </c>
      <c r="G885" t="s">
        <v>2164</v>
      </c>
      <c r="H885" t="s">
        <v>20</v>
      </c>
      <c r="I885">
        <v>1495</v>
      </c>
      <c r="J885" t="s">
        <v>21</v>
      </c>
      <c r="K885">
        <v>6</v>
      </c>
      <c r="L885" t="s">
        <v>59</v>
      </c>
      <c r="M885">
        <v>1188</v>
      </c>
    </row>
    <row r="886" spans="1:13">
      <c r="A886">
        <v>880</v>
      </c>
      <c r="B886">
        <v>86032</v>
      </c>
      <c r="C886" t="s">
        <v>2165</v>
      </c>
      <c r="D886" t="s">
        <v>205</v>
      </c>
      <c r="E886" t="s">
        <v>2166</v>
      </c>
      <c r="F886" t="str">
        <f>"00081413"</f>
        <v>00081413</v>
      </c>
      <c r="G886" t="s">
        <v>150</v>
      </c>
      <c r="H886" t="s">
        <v>151</v>
      </c>
      <c r="I886">
        <v>1699</v>
      </c>
      <c r="J886" t="s">
        <v>21</v>
      </c>
      <c r="K886">
        <v>0</v>
      </c>
      <c r="M886">
        <v>1336</v>
      </c>
    </row>
    <row r="887" spans="1:13">
      <c r="A887">
        <v>881</v>
      </c>
      <c r="B887">
        <v>49941</v>
      </c>
      <c r="C887" t="s">
        <v>2167</v>
      </c>
      <c r="D887" t="s">
        <v>90</v>
      </c>
      <c r="E887" t="s">
        <v>2168</v>
      </c>
      <c r="F887" t="str">
        <f>"201510003504"</f>
        <v>201510003504</v>
      </c>
      <c r="G887" t="s">
        <v>125</v>
      </c>
      <c r="H887" t="s">
        <v>20</v>
      </c>
      <c r="I887">
        <v>1507</v>
      </c>
      <c r="J887" t="s">
        <v>21</v>
      </c>
      <c r="K887">
        <v>0</v>
      </c>
      <c r="M887">
        <v>1438</v>
      </c>
    </row>
    <row r="888" spans="1:13">
      <c r="A888">
        <v>882</v>
      </c>
      <c r="B888">
        <v>104286</v>
      </c>
      <c r="C888" t="s">
        <v>2169</v>
      </c>
      <c r="D888" t="s">
        <v>2170</v>
      </c>
      <c r="E888" t="s">
        <v>2171</v>
      </c>
      <c r="F888" t="str">
        <f>"00300367"</f>
        <v>00300367</v>
      </c>
      <c r="G888" t="s">
        <v>63</v>
      </c>
      <c r="H888" t="s">
        <v>2172</v>
      </c>
      <c r="I888">
        <v>1698</v>
      </c>
      <c r="J888" t="s">
        <v>21</v>
      </c>
      <c r="K888">
        <v>0</v>
      </c>
      <c r="L888" t="s">
        <v>35</v>
      </c>
      <c r="M888">
        <v>923</v>
      </c>
    </row>
    <row r="889" spans="1:13">
      <c r="A889">
        <v>883</v>
      </c>
      <c r="B889">
        <v>50205</v>
      </c>
      <c r="C889" t="s">
        <v>2173</v>
      </c>
      <c r="D889" t="s">
        <v>249</v>
      </c>
      <c r="E889" t="s">
        <v>2174</v>
      </c>
      <c r="F889" t="str">
        <f>"00250443"</f>
        <v>00250443</v>
      </c>
      <c r="G889" t="s">
        <v>203</v>
      </c>
      <c r="H889" t="s">
        <v>20</v>
      </c>
      <c r="I889">
        <v>1476</v>
      </c>
      <c r="J889" t="s">
        <v>21</v>
      </c>
      <c r="K889">
        <v>6</v>
      </c>
      <c r="M889">
        <v>1128</v>
      </c>
    </row>
    <row r="890" spans="1:13">
      <c r="A890">
        <v>884</v>
      </c>
      <c r="B890">
        <v>100242</v>
      </c>
      <c r="C890" t="s">
        <v>2175</v>
      </c>
      <c r="D890" t="s">
        <v>180</v>
      </c>
      <c r="E890" t="s">
        <v>2176</v>
      </c>
      <c r="F890" t="str">
        <f>"00395171"</f>
        <v>00395171</v>
      </c>
      <c r="G890" t="s">
        <v>255</v>
      </c>
      <c r="H890" t="s">
        <v>20</v>
      </c>
      <c r="I890">
        <v>1513</v>
      </c>
      <c r="J890" t="s">
        <v>21</v>
      </c>
      <c r="K890">
        <v>6</v>
      </c>
      <c r="M890">
        <v>1401</v>
      </c>
    </row>
    <row r="891" spans="1:13">
      <c r="A891">
        <v>885</v>
      </c>
      <c r="B891">
        <v>108189</v>
      </c>
      <c r="C891" t="s">
        <v>2177</v>
      </c>
      <c r="D891" t="s">
        <v>90</v>
      </c>
      <c r="E891" t="s">
        <v>2178</v>
      </c>
      <c r="F891" t="str">
        <f>"00410273"</f>
        <v>00410273</v>
      </c>
      <c r="G891" t="s">
        <v>488</v>
      </c>
      <c r="H891" t="s">
        <v>20</v>
      </c>
      <c r="I891">
        <v>1482</v>
      </c>
      <c r="J891" t="s">
        <v>21</v>
      </c>
      <c r="K891">
        <v>0</v>
      </c>
      <c r="L891" t="s">
        <v>35</v>
      </c>
      <c r="M891">
        <v>923</v>
      </c>
    </row>
    <row r="892" spans="1:13">
      <c r="A892">
        <v>886</v>
      </c>
      <c r="B892">
        <v>102138</v>
      </c>
      <c r="C892" t="s">
        <v>2179</v>
      </c>
      <c r="D892" t="s">
        <v>1001</v>
      </c>
      <c r="E892" t="s">
        <v>2180</v>
      </c>
      <c r="F892" t="str">
        <f>"00072413"</f>
        <v>00072413</v>
      </c>
      <c r="G892" t="s">
        <v>211</v>
      </c>
      <c r="H892" t="s">
        <v>48</v>
      </c>
      <c r="I892">
        <v>1628</v>
      </c>
      <c r="J892" t="s">
        <v>21</v>
      </c>
      <c r="K892">
        <v>0</v>
      </c>
      <c r="L892" t="s">
        <v>35</v>
      </c>
      <c r="M892">
        <v>900</v>
      </c>
    </row>
    <row r="893" spans="1:13">
      <c r="A893">
        <v>887</v>
      </c>
      <c r="B893">
        <v>90723</v>
      </c>
      <c r="C893" t="s">
        <v>2181</v>
      </c>
      <c r="D893" t="s">
        <v>180</v>
      </c>
      <c r="E893" t="s">
        <v>2182</v>
      </c>
      <c r="F893" t="str">
        <f>"00404647"</f>
        <v>00404647</v>
      </c>
      <c r="G893" t="s">
        <v>150</v>
      </c>
      <c r="H893" t="s">
        <v>151</v>
      </c>
      <c r="I893">
        <v>1699</v>
      </c>
      <c r="J893" t="s">
        <v>21</v>
      </c>
      <c r="K893">
        <v>0</v>
      </c>
      <c r="L893" t="s">
        <v>35</v>
      </c>
      <c r="M893">
        <v>1036</v>
      </c>
    </row>
    <row r="894" spans="1:13">
      <c r="A894">
        <v>888</v>
      </c>
      <c r="B894">
        <v>60387</v>
      </c>
      <c r="C894" t="s">
        <v>2183</v>
      </c>
      <c r="D894" t="s">
        <v>105</v>
      </c>
      <c r="E894" t="s">
        <v>2184</v>
      </c>
      <c r="F894" t="str">
        <f>"00364708"</f>
        <v>00364708</v>
      </c>
      <c r="G894" t="s">
        <v>1079</v>
      </c>
      <c r="H894" t="s">
        <v>20</v>
      </c>
      <c r="I894">
        <v>1433</v>
      </c>
      <c r="J894" t="s">
        <v>21</v>
      </c>
      <c r="K894">
        <v>0</v>
      </c>
      <c r="L894" t="s">
        <v>35</v>
      </c>
      <c r="M894">
        <v>1000</v>
      </c>
    </row>
    <row r="895" spans="1:13">
      <c r="A895">
        <v>889</v>
      </c>
      <c r="B895">
        <v>55881</v>
      </c>
      <c r="C895" t="s">
        <v>2185</v>
      </c>
      <c r="D895" t="s">
        <v>80</v>
      </c>
      <c r="E895" t="s">
        <v>2186</v>
      </c>
      <c r="F895" t="str">
        <f>"00261531"</f>
        <v>00261531</v>
      </c>
      <c r="G895" t="s">
        <v>1165</v>
      </c>
      <c r="H895" t="s">
        <v>20</v>
      </c>
      <c r="I895">
        <v>1422</v>
      </c>
      <c r="J895" t="s">
        <v>21</v>
      </c>
      <c r="K895">
        <v>0</v>
      </c>
      <c r="M895">
        <v>1528</v>
      </c>
    </row>
    <row r="896" spans="1:13">
      <c r="A896">
        <v>890</v>
      </c>
      <c r="B896">
        <v>81136</v>
      </c>
      <c r="C896" t="s">
        <v>2187</v>
      </c>
      <c r="D896" t="s">
        <v>145</v>
      </c>
      <c r="E896" t="s">
        <v>2188</v>
      </c>
      <c r="F896" t="str">
        <f>"00407677"</f>
        <v>00407677</v>
      </c>
      <c r="G896" t="s">
        <v>211</v>
      </c>
      <c r="H896" t="s">
        <v>48</v>
      </c>
      <c r="I896">
        <v>1628</v>
      </c>
      <c r="J896" t="s">
        <v>21</v>
      </c>
      <c r="K896">
        <v>0</v>
      </c>
      <c r="L896" t="s">
        <v>35</v>
      </c>
      <c r="M896">
        <v>850</v>
      </c>
    </row>
    <row r="897" spans="1:13">
      <c r="A897">
        <v>891</v>
      </c>
      <c r="B897">
        <v>55797</v>
      </c>
      <c r="C897" t="s">
        <v>2189</v>
      </c>
      <c r="D897" t="s">
        <v>228</v>
      </c>
      <c r="E897" t="s">
        <v>2190</v>
      </c>
      <c r="F897" t="str">
        <f>"00366595"</f>
        <v>00366595</v>
      </c>
      <c r="G897" t="s">
        <v>211</v>
      </c>
      <c r="H897" t="s">
        <v>48</v>
      </c>
      <c r="I897">
        <v>1628</v>
      </c>
      <c r="J897" t="s">
        <v>21</v>
      </c>
      <c r="K897">
        <v>0</v>
      </c>
      <c r="L897" t="s">
        <v>35</v>
      </c>
      <c r="M897">
        <v>1008</v>
      </c>
    </row>
    <row r="898" spans="1:13">
      <c r="A898">
        <v>892</v>
      </c>
      <c r="B898">
        <v>105002</v>
      </c>
      <c r="C898" t="s">
        <v>2191</v>
      </c>
      <c r="D898" t="s">
        <v>76</v>
      </c>
      <c r="E898" t="s">
        <v>2192</v>
      </c>
      <c r="F898" t="str">
        <f>"00368771"</f>
        <v>00368771</v>
      </c>
      <c r="G898" t="s">
        <v>107</v>
      </c>
      <c r="H898" t="s">
        <v>20</v>
      </c>
      <c r="I898">
        <v>1472</v>
      </c>
      <c r="J898" t="s">
        <v>21</v>
      </c>
      <c r="K898">
        <v>0</v>
      </c>
      <c r="M898">
        <v>1411</v>
      </c>
    </row>
    <row r="899" spans="1:13">
      <c r="A899">
        <v>893</v>
      </c>
      <c r="B899">
        <v>110799</v>
      </c>
      <c r="C899" t="s">
        <v>2193</v>
      </c>
      <c r="D899" t="s">
        <v>102</v>
      </c>
      <c r="E899" t="s">
        <v>2194</v>
      </c>
      <c r="F899" t="str">
        <f>"00423728"</f>
        <v>00423728</v>
      </c>
      <c r="G899" t="s">
        <v>763</v>
      </c>
      <c r="H899" t="s">
        <v>20</v>
      </c>
      <c r="I899">
        <v>1430</v>
      </c>
      <c r="J899" t="s">
        <v>21</v>
      </c>
      <c r="K899">
        <v>0</v>
      </c>
      <c r="M899">
        <v>1488</v>
      </c>
    </row>
    <row r="900" spans="1:13">
      <c r="A900">
        <v>894</v>
      </c>
      <c r="B900">
        <v>108034</v>
      </c>
      <c r="C900" t="s">
        <v>2195</v>
      </c>
      <c r="D900" t="s">
        <v>76</v>
      </c>
      <c r="E900" t="s">
        <v>2196</v>
      </c>
      <c r="F900" t="str">
        <f>"00095997"</f>
        <v>00095997</v>
      </c>
      <c r="G900" t="s">
        <v>107</v>
      </c>
      <c r="H900" t="s">
        <v>20</v>
      </c>
      <c r="I900">
        <v>1472</v>
      </c>
      <c r="J900" t="s">
        <v>21</v>
      </c>
      <c r="K900">
        <v>0</v>
      </c>
      <c r="L900" t="s">
        <v>88</v>
      </c>
      <c r="M900">
        <v>558</v>
      </c>
    </row>
    <row r="901" spans="1:13">
      <c r="A901">
        <v>895</v>
      </c>
      <c r="B901">
        <v>110551</v>
      </c>
      <c r="C901" t="s">
        <v>2197</v>
      </c>
      <c r="D901" t="s">
        <v>180</v>
      </c>
      <c r="E901" t="s">
        <v>2198</v>
      </c>
      <c r="F901" t="str">
        <f>"00423090"</f>
        <v>00423090</v>
      </c>
      <c r="G901" t="s">
        <v>38</v>
      </c>
      <c r="H901" t="s">
        <v>39</v>
      </c>
      <c r="I901">
        <v>1634</v>
      </c>
      <c r="J901" t="s">
        <v>21</v>
      </c>
      <c r="K901">
        <v>6</v>
      </c>
      <c r="M901">
        <v>1128</v>
      </c>
    </row>
    <row r="902" spans="1:13">
      <c r="A902">
        <v>896</v>
      </c>
      <c r="B902">
        <v>59322</v>
      </c>
      <c r="C902" t="s">
        <v>2199</v>
      </c>
      <c r="D902" t="s">
        <v>811</v>
      </c>
      <c r="E902" t="s">
        <v>2200</v>
      </c>
      <c r="F902" t="str">
        <f>"00376754"</f>
        <v>00376754</v>
      </c>
      <c r="G902" t="s">
        <v>371</v>
      </c>
      <c r="H902" t="s">
        <v>20</v>
      </c>
      <c r="I902">
        <v>1526</v>
      </c>
      <c r="J902" t="s">
        <v>21</v>
      </c>
      <c r="K902">
        <v>6</v>
      </c>
      <c r="L902" t="s">
        <v>35</v>
      </c>
      <c r="M902">
        <v>408</v>
      </c>
    </row>
    <row r="903" spans="1:13">
      <c r="A903">
        <v>897</v>
      </c>
      <c r="B903">
        <v>68368</v>
      </c>
      <c r="C903" t="s">
        <v>2201</v>
      </c>
      <c r="D903" t="s">
        <v>127</v>
      </c>
      <c r="E903" t="s">
        <v>2202</v>
      </c>
      <c r="F903" t="str">
        <f>"00377841"</f>
        <v>00377841</v>
      </c>
      <c r="G903" t="s">
        <v>47</v>
      </c>
      <c r="H903" t="s">
        <v>48</v>
      </c>
      <c r="I903">
        <v>1623</v>
      </c>
      <c r="J903" t="s">
        <v>21</v>
      </c>
      <c r="K903">
        <v>0</v>
      </c>
      <c r="L903" t="s">
        <v>35</v>
      </c>
      <c r="M903">
        <v>870</v>
      </c>
    </row>
    <row r="904" spans="1:13">
      <c r="A904">
        <v>898</v>
      </c>
      <c r="B904">
        <v>110183</v>
      </c>
      <c r="C904" t="s">
        <v>2203</v>
      </c>
      <c r="D904" t="s">
        <v>566</v>
      </c>
      <c r="E904" t="s">
        <v>2204</v>
      </c>
      <c r="F904" t="str">
        <f>"00418467"</f>
        <v>00418467</v>
      </c>
      <c r="G904" t="s">
        <v>1107</v>
      </c>
      <c r="H904" t="s">
        <v>48</v>
      </c>
      <c r="I904">
        <v>1626</v>
      </c>
      <c r="J904" t="s">
        <v>21</v>
      </c>
      <c r="K904">
        <v>0</v>
      </c>
      <c r="M904">
        <v>1328</v>
      </c>
    </row>
    <row r="905" spans="1:13">
      <c r="A905">
        <v>899</v>
      </c>
      <c r="B905">
        <v>76850</v>
      </c>
      <c r="C905" t="s">
        <v>2205</v>
      </c>
      <c r="D905" t="s">
        <v>139</v>
      </c>
      <c r="E905" t="s">
        <v>2206</v>
      </c>
      <c r="F905" t="str">
        <f>"201511009998"</f>
        <v>201511009998</v>
      </c>
      <c r="G905" t="s">
        <v>47</v>
      </c>
      <c r="H905" t="s">
        <v>48</v>
      </c>
      <c r="I905">
        <v>1623</v>
      </c>
      <c r="J905" t="s">
        <v>21</v>
      </c>
      <c r="K905">
        <v>0</v>
      </c>
      <c r="M905">
        <v>1388</v>
      </c>
    </row>
    <row r="906" spans="1:13">
      <c r="A906">
        <v>900</v>
      </c>
      <c r="B906">
        <v>89985</v>
      </c>
      <c r="C906" t="s">
        <v>2207</v>
      </c>
      <c r="D906" t="s">
        <v>249</v>
      </c>
      <c r="E906" t="s">
        <v>2208</v>
      </c>
      <c r="F906" t="str">
        <f>"201604002050"</f>
        <v>201604002050</v>
      </c>
      <c r="G906" t="s">
        <v>724</v>
      </c>
      <c r="H906" t="s">
        <v>20</v>
      </c>
      <c r="I906">
        <v>1411</v>
      </c>
      <c r="J906" t="s">
        <v>21</v>
      </c>
      <c r="K906">
        <v>0</v>
      </c>
      <c r="M906">
        <v>1428</v>
      </c>
    </row>
    <row r="907" spans="1:13">
      <c r="A907">
        <v>901</v>
      </c>
      <c r="B907">
        <v>101248</v>
      </c>
      <c r="C907" t="s">
        <v>2207</v>
      </c>
      <c r="D907" t="s">
        <v>180</v>
      </c>
      <c r="E907" t="s">
        <v>2209</v>
      </c>
      <c r="F907" t="str">
        <f>"00373669"</f>
        <v>00373669</v>
      </c>
      <c r="G907" t="s">
        <v>949</v>
      </c>
      <c r="H907" t="s">
        <v>20</v>
      </c>
      <c r="I907">
        <v>1450</v>
      </c>
      <c r="J907" t="s">
        <v>21</v>
      </c>
      <c r="K907">
        <v>6</v>
      </c>
      <c r="L907" t="s">
        <v>35</v>
      </c>
      <c r="M907">
        <v>1155</v>
      </c>
    </row>
    <row r="908" spans="1:13">
      <c r="A908">
        <v>902</v>
      </c>
      <c r="B908">
        <v>87431</v>
      </c>
      <c r="C908" t="s">
        <v>2210</v>
      </c>
      <c r="D908" t="s">
        <v>655</v>
      </c>
      <c r="E908" t="s">
        <v>2211</v>
      </c>
      <c r="F908" t="str">
        <f>"00256270"</f>
        <v>00256270</v>
      </c>
      <c r="G908" t="s">
        <v>230</v>
      </c>
      <c r="H908" t="s">
        <v>20</v>
      </c>
      <c r="I908">
        <v>1545</v>
      </c>
      <c r="J908" t="s">
        <v>21</v>
      </c>
      <c r="K908">
        <v>0</v>
      </c>
      <c r="L908" t="s">
        <v>112</v>
      </c>
      <c r="M908">
        <v>908</v>
      </c>
    </row>
    <row r="909" spans="1:13">
      <c r="A909">
        <v>903</v>
      </c>
      <c r="B909">
        <v>83283</v>
      </c>
      <c r="C909" t="s">
        <v>2212</v>
      </c>
      <c r="D909" t="s">
        <v>243</v>
      </c>
      <c r="E909" t="s">
        <v>2213</v>
      </c>
      <c r="F909" t="str">
        <f>"00222412"</f>
        <v>00222412</v>
      </c>
      <c r="G909" t="s">
        <v>107</v>
      </c>
      <c r="H909" t="s">
        <v>20</v>
      </c>
      <c r="I909">
        <v>1472</v>
      </c>
      <c r="J909" t="s">
        <v>21</v>
      </c>
      <c r="K909">
        <v>0</v>
      </c>
      <c r="M909">
        <v>1388</v>
      </c>
    </row>
    <row r="910" spans="1:13">
      <c r="A910">
        <v>904</v>
      </c>
      <c r="B910">
        <v>50061</v>
      </c>
      <c r="C910" t="s">
        <v>2214</v>
      </c>
      <c r="D910" t="s">
        <v>566</v>
      </c>
      <c r="E910" t="s">
        <v>2215</v>
      </c>
      <c r="F910" t="str">
        <f>"201510001762"</f>
        <v>201510001762</v>
      </c>
      <c r="G910" t="s">
        <v>476</v>
      </c>
      <c r="H910" t="s">
        <v>274</v>
      </c>
      <c r="I910">
        <v>1385</v>
      </c>
      <c r="J910" t="s">
        <v>21</v>
      </c>
      <c r="K910">
        <v>6</v>
      </c>
      <c r="M910">
        <v>1688</v>
      </c>
    </row>
    <row r="911" spans="1:13">
      <c r="A911">
        <v>905</v>
      </c>
      <c r="B911">
        <v>109601</v>
      </c>
      <c r="C911" t="s">
        <v>2216</v>
      </c>
      <c r="D911" t="s">
        <v>109</v>
      </c>
      <c r="E911" t="s">
        <v>2217</v>
      </c>
      <c r="F911" t="str">
        <f>"00003736"</f>
        <v>00003736</v>
      </c>
      <c r="G911" t="s">
        <v>107</v>
      </c>
      <c r="H911" t="s">
        <v>20</v>
      </c>
      <c r="I911">
        <v>1472</v>
      </c>
      <c r="J911" t="s">
        <v>21</v>
      </c>
      <c r="K911">
        <v>0</v>
      </c>
      <c r="L911" t="s">
        <v>35</v>
      </c>
      <c r="M911">
        <v>1100</v>
      </c>
    </row>
    <row r="912" spans="1:13">
      <c r="A912">
        <v>906</v>
      </c>
      <c r="B912">
        <v>115086</v>
      </c>
      <c r="C912" t="s">
        <v>2218</v>
      </c>
      <c r="D912" t="s">
        <v>557</v>
      </c>
      <c r="E912" t="s">
        <v>2219</v>
      </c>
      <c r="F912" t="str">
        <f>"00394213"</f>
        <v>00394213</v>
      </c>
      <c r="G912" t="s">
        <v>107</v>
      </c>
      <c r="H912" t="s">
        <v>20</v>
      </c>
      <c r="I912">
        <v>1472</v>
      </c>
      <c r="J912" t="s">
        <v>21</v>
      </c>
      <c r="K912">
        <v>0</v>
      </c>
      <c r="L912" t="s">
        <v>112</v>
      </c>
      <c r="M912">
        <v>808</v>
      </c>
    </row>
    <row r="913" spans="1:13">
      <c r="A913">
        <v>907</v>
      </c>
      <c r="B913">
        <v>81006</v>
      </c>
      <c r="C913" t="s">
        <v>2220</v>
      </c>
      <c r="D913" t="s">
        <v>94</v>
      </c>
      <c r="E913" t="s">
        <v>2221</v>
      </c>
      <c r="F913" t="str">
        <f>"00402094"</f>
        <v>00402094</v>
      </c>
      <c r="G913" t="s">
        <v>155</v>
      </c>
      <c r="H913" t="s">
        <v>156</v>
      </c>
      <c r="I913">
        <v>1342</v>
      </c>
      <c r="J913" t="s">
        <v>21</v>
      </c>
      <c r="K913">
        <v>0</v>
      </c>
      <c r="L913" t="s">
        <v>35</v>
      </c>
      <c r="M913">
        <v>1108</v>
      </c>
    </row>
    <row r="914" spans="1:13">
      <c r="A914">
        <v>908</v>
      </c>
      <c r="B914">
        <v>61873</v>
      </c>
      <c r="C914" t="s">
        <v>2222</v>
      </c>
      <c r="D914" t="s">
        <v>94</v>
      </c>
      <c r="E914" t="s">
        <v>2223</v>
      </c>
      <c r="F914" t="str">
        <f>"00001964"</f>
        <v>00001964</v>
      </c>
      <c r="G914" t="s">
        <v>1764</v>
      </c>
      <c r="H914" t="s">
        <v>20</v>
      </c>
      <c r="I914">
        <v>1532</v>
      </c>
      <c r="J914" t="s">
        <v>21</v>
      </c>
      <c r="K914">
        <v>0</v>
      </c>
      <c r="M914">
        <v>1718</v>
      </c>
    </row>
    <row r="915" spans="1:13">
      <c r="A915">
        <v>909</v>
      </c>
      <c r="B915">
        <v>83995</v>
      </c>
      <c r="C915" t="s">
        <v>2224</v>
      </c>
      <c r="D915" t="s">
        <v>76</v>
      </c>
      <c r="E915" t="s">
        <v>2225</v>
      </c>
      <c r="F915" t="str">
        <f>"201511006433"</f>
        <v>201511006433</v>
      </c>
      <c r="G915" t="s">
        <v>47</v>
      </c>
      <c r="H915" t="s">
        <v>48</v>
      </c>
      <c r="I915">
        <v>1623</v>
      </c>
      <c r="J915" t="s">
        <v>21</v>
      </c>
      <c r="K915">
        <v>0</v>
      </c>
      <c r="L915" t="s">
        <v>35</v>
      </c>
      <c r="M915">
        <v>900</v>
      </c>
    </row>
    <row r="916" spans="1:13">
      <c r="A916">
        <v>910</v>
      </c>
      <c r="B916">
        <v>84770</v>
      </c>
      <c r="C916" t="s">
        <v>2226</v>
      </c>
      <c r="D916" t="s">
        <v>563</v>
      </c>
      <c r="E916" t="s">
        <v>2227</v>
      </c>
      <c r="F916" t="str">
        <f>"00365032"</f>
        <v>00365032</v>
      </c>
      <c r="G916" t="s">
        <v>2228</v>
      </c>
      <c r="H916" t="s">
        <v>20</v>
      </c>
      <c r="I916">
        <v>1469</v>
      </c>
      <c r="J916" t="s">
        <v>21</v>
      </c>
      <c r="K916">
        <v>0</v>
      </c>
      <c r="M916">
        <v>1528</v>
      </c>
    </row>
    <row r="917" spans="1:13">
      <c r="A917">
        <v>911</v>
      </c>
      <c r="B917">
        <v>51020</v>
      </c>
      <c r="C917" t="s">
        <v>2229</v>
      </c>
      <c r="D917" t="s">
        <v>180</v>
      </c>
      <c r="E917" t="s">
        <v>2230</v>
      </c>
      <c r="F917" t="str">
        <f>"00259537"</f>
        <v>00259537</v>
      </c>
      <c r="G917" t="s">
        <v>33</v>
      </c>
      <c r="H917" t="s">
        <v>366</v>
      </c>
      <c r="I917">
        <v>1689</v>
      </c>
      <c r="J917" t="s">
        <v>21</v>
      </c>
      <c r="K917">
        <v>6</v>
      </c>
      <c r="M917">
        <v>1188</v>
      </c>
    </row>
    <row r="918" spans="1:13">
      <c r="A918">
        <v>912</v>
      </c>
      <c r="B918">
        <v>99477</v>
      </c>
      <c r="C918" t="s">
        <v>2231</v>
      </c>
      <c r="D918" t="s">
        <v>660</v>
      </c>
      <c r="E918" t="s">
        <v>2232</v>
      </c>
      <c r="F918" t="str">
        <f>"00380253"</f>
        <v>00380253</v>
      </c>
      <c r="G918" t="s">
        <v>344</v>
      </c>
      <c r="H918" t="s">
        <v>137</v>
      </c>
      <c r="I918">
        <v>1614</v>
      </c>
      <c r="J918" t="s">
        <v>21</v>
      </c>
      <c r="K918">
        <v>0</v>
      </c>
      <c r="M918">
        <v>1448</v>
      </c>
    </row>
    <row r="919" spans="1:13">
      <c r="A919">
        <v>913</v>
      </c>
      <c r="B919">
        <v>72707</v>
      </c>
      <c r="C919" t="s">
        <v>2233</v>
      </c>
      <c r="D919" t="s">
        <v>260</v>
      </c>
      <c r="E919" t="s">
        <v>2234</v>
      </c>
      <c r="F919" t="str">
        <f>"00351377"</f>
        <v>00351377</v>
      </c>
      <c r="G919" t="s">
        <v>1321</v>
      </c>
      <c r="H919" t="s">
        <v>234</v>
      </c>
      <c r="I919">
        <v>1330</v>
      </c>
      <c r="J919" t="s">
        <v>21</v>
      </c>
      <c r="K919">
        <v>0</v>
      </c>
      <c r="L919" t="s">
        <v>35</v>
      </c>
      <c r="M919">
        <v>1036</v>
      </c>
    </row>
    <row r="920" spans="1:13">
      <c r="A920">
        <v>914</v>
      </c>
      <c r="B920">
        <v>84850</v>
      </c>
      <c r="C920" t="s">
        <v>2235</v>
      </c>
      <c r="D920" t="s">
        <v>316</v>
      </c>
      <c r="E920" t="s">
        <v>2236</v>
      </c>
      <c r="F920" t="str">
        <f>"00403139"</f>
        <v>00403139</v>
      </c>
      <c r="G920" t="s">
        <v>547</v>
      </c>
      <c r="H920" t="s">
        <v>274</v>
      </c>
      <c r="I920">
        <v>1384</v>
      </c>
      <c r="J920" t="s">
        <v>21</v>
      </c>
      <c r="K920">
        <v>6</v>
      </c>
      <c r="M920">
        <v>1248</v>
      </c>
    </row>
    <row r="921" spans="1:13">
      <c r="A921">
        <v>915</v>
      </c>
      <c r="B921">
        <v>54679</v>
      </c>
      <c r="C921" t="s">
        <v>2237</v>
      </c>
      <c r="D921" t="s">
        <v>563</v>
      </c>
      <c r="E921" t="s">
        <v>2238</v>
      </c>
      <c r="F921" t="str">
        <f>"201410008461"</f>
        <v>201410008461</v>
      </c>
      <c r="G921" t="s">
        <v>67</v>
      </c>
      <c r="H921" t="s">
        <v>20</v>
      </c>
      <c r="I921">
        <v>1434</v>
      </c>
      <c r="J921" t="s">
        <v>21</v>
      </c>
      <c r="K921">
        <v>0</v>
      </c>
      <c r="M921">
        <v>1438</v>
      </c>
    </row>
    <row r="922" spans="1:13">
      <c r="A922">
        <v>916</v>
      </c>
      <c r="B922">
        <v>86185</v>
      </c>
      <c r="C922" t="s">
        <v>2239</v>
      </c>
      <c r="D922" t="s">
        <v>213</v>
      </c>
      <c r="E922" t="s">
        <v>2240</v>
      </c>
      <c r="F922" t="str">
        <f>"00260375"</f>
        <v>00260375</v>
      </c>
      <c r="G922" t="s">
        <v>856</v>
      </c>
      <c r="H922" t="s">
        <v>366</v>
      </c>
      <c r="I922">
        <v>1706</v>
      </c>
      <c r="J922" t="s">
        <v>21</v>
      </c>
      <c r="K922">
        <v>0</v>
      </c>
      <c r="L922" t="s">
        <v>83</v>
      </c>
      <c r="M922">
        <v>1228</v>
      </c>
    </row>
    <row r="923" spans="1:13">
      <c r="A923">
        <v>917</v>
      </c>
      <c r="B923">
        <v>115145</v>
      </c>
      <c r="C923" t="s">
        <v>2241</v>
      </c>
      <c r="D923" t="s">
        <v>76</v>
      </c>
      <c r="E923" t="s">
        <v>2242</v>
      </c>
      <c r="F923" t="str">
        <f>"00221184"</f>
        <v>00221184</v>
      </c>
      <c r="G923" t="s">
        <v>2243</v>
      </c>
      <c r="H923" t="s">
        <v>20</v>
      </c>
      <c r="I923">
        <v>1403</v>
      </c>
      <c r="J923" t="s">
        <v>21</v>
      </c>
      <c r="K923">
        <v>0</v>
      </c>
      <c r="M923">
        <v>1688</v>
      </c>
    </row>
    <row r="924" spans="1:13">
      <c r="A924">
        <v>918</v>
      </c>
      <c r="B924">
        <v>94674</v>
      </c>
      <c r="C924" t="s">
        <v>2244</v>
      </c>
      <c r="D924" t="s">
        <v>80</v>
      </c>
      <c r="E924" t="s">
        <v>2245</v>
      </c>
      <c r="F924" t="str">
        <f>"201511029150"</f>
        <v>201511029150</v>
      </c>
      <c r="G924" t="s">
        <v>47</v>
      </c>
      <c r="H924" t="s">
        <v>48</v>
      </c>
      <c r="I924">
        <v>1623</v>
      </c>
      <c r="J924" t="s">
        <v>21</v>
      </c>
      <c r="K924">
        <v>0</v>
      </c>
      <c r="L924" t="s">
        <v>35</v>
      </c>
      <c r="M924">
        <v>900</v>
      </c>
    </row>
    <row r="925" spans="1:13">
      <c r="A925">
        <v>919</v>
      </c>
      <c r="B925">
        <v>81975</v>
      </c>
      <c r="C925" t="s">
        <v>2246</v>
      </c>
      <c r="D925" t="s">
        <v>205</v>
      </c>
      <c r="E925" t="s">
        <v>2247</v>
      </c>
      <c r="F925" t="str">
        <f>"201402005490"</f>
        <v>201402005490</v>
      </c>
      <c r="G925" t="s">
        <v>540</v>
      </c>
      <c r="H925" t="s">
        <v>20</v>
      </c>
      <c r="I925">
        <v>1435</v>
      </c>
      <c r="J925" t="s">
        <v>21</v>
      </c>
      <c r="K925">
        <v>0</v>
      </c>
      <c r="M925">
        <v>1388</v>
      </c>
    </row>
    <row r="926" spans="1:13">
      <c r="A926">
        <v>920</v>
      </c>
      <c r="B926">
        <v>106009</v>
      </c>
      <c r="C926" t="s">
        <v>2248</v>
      </c>
      <c r="D926" t="s">
        <v>102</v>
      </c>
      <c r="E926" t="s">
        <v>2249</v>
      </c>
      <c r="F926" t="str">
        <f>"00371518"</f>
        <v>00371518</v>
      </c>
      <c r="G926" t="s">
        <v>258</v>
      </c>
      <c r="H926" t="s">
        <v>20</v>
      </c>
      <c r="I926">
        <v>1484</v>
      </c>
      <c r="J926" t="s">
        <v>21</v>
      </c>
      <c r="K926">
        <v>0</v>
      </c>
      <c r="L926" t="s">
        <v>83</v>
      </c>
      <c r="M926">
        <v>1188</v>
      </c>
    </row>
    <row r="927" spans="1:13">
      <c r="A927">
        <v>921</v>
      </c>
      <c r="B927">
        <v>115910</v>
      </c>
      <c r="C927" t="s">
        <v>2250</v>
      </c>
      <c r="D927" t="s">
        <v>2251</v>
      </c>
      <c r="E927" t="s">
        <v>2252</v>
      </c>
      <c r="F927" t="str">
        <f>"00422244"</f>
        <v>00422244</v>
      </c>
      <c r="G927" t="s">
        <v>709</v>
      </c>
      <c r="H927" t="s">
        <v>20</v>
      </c>
      <c r="I927">
        <v>1413</v>
      </c>
      <c r="J927" t="s">
        <v>21</v>
      </c>
      <c r="K927">
        <v>0</v>
      </c>
      <c r="L927" t="s">
        <v>35</v>
      </c>
      <c r="M927">
        <v>883</v>
      </c>
    </row>
    <row r="928" spans="1:13">
      <c r="A928">
        <v>922</v>
      </c>
      <c r="B928">
        <v>109497</v>
      </c>
      <c r="C928" t="s">
        <v>2253</v>
      </c>
      <c r="D928" t="s">
        <v>80</v>
      </c>
      <c r="E928" t="s">
        <v>2254</v>
      </c>
      <c r="F928" t="str">
        <f>"00401830"</f>
        <v>00401830</v>
      </c>
      <c r="G928" t="s">
        <v>955</v>
      </c>
      <c r="H928" t="s">
        <v>48</v>
      </c>
      <c r="I928">
        <v>1630</v>
      </c>
      <c r="J928" t="s">
        <v>21</v>
      </c>
      <c r="K928">
        <v>0</v>
      </c>
      <c r="M928">
        <v>1338</v>
      </c>
    </row>
    <row r="929" spans="1:13">
      <c r="A929">
        <v>923</v>
      </c>
      <c r="B929">
        <v>50774</v>
      </c>
      <c r="C929" t="s">
        <v>2255</v>
      </c>
      <c r="D929" t="s">
        <v>76</v>
      </c>
      <c r="E929" t="s">
        <v>2256</v>
      </c>
      <c r="F929" t="str">
        <f>"00089455"</f>
        <v>00089455</v>
      </c>
      <c r="G929" t="s">
        <v>1595</v>
      </c>
      <c r="H929" t="s">
        <v>20</v>
      </c>
      <c r="I929">
        <v>1538</v>
      </c>
      <c r="J929" t="s">
        <v>21</v>
      </c>
      <c r="K929">
        <v>6</v>
      </c>
      <c r="L929" t="s">
        <v>112</v>
      </c>
      <c r="M929">
        <v>370</v>
      </c>
    </row>
    <row r="930" spans="1:13">
      <c r="A930">
        <v>924</v>
      </c>
      <c r="B930">
        <v>74042</v>
      </c>
      <c r="C930" t="s">
        <v>2257</v>
      </c>
      <c r="D930" t="s">
        <v>914</v>
      </c>
      <c r="E930" t="s">
        <v>2258</v>
      </c>
      <c r="F930" t="str">
        <f>"00319903"</f>
        <v>00319903</v>
      </c>
      <c r="G930" t="s">
        <v>1764</v>
      </c>
      <c r="H930" t="s">
        <v>20</v>
      </c>
      <c r="I930">
        <v>1532</v>
      </c>
      <c r="J930" t="s">
        <v>21</v>
      </c>
      <c r="K930">
        <v>0</v>
      </c>
      <c r="L930" t="s">
        <v>59</v>
      </c>
      <c r="M930">
        <v>828</v>
      </c>
    </row>
    <row r="931" spans="1:13">
      <c r="A931">
        <v>925</v>
      </c>
      <c r="B931">
        <v>116755</v>
      </c>
      <c r="C931" t="s">
        <v>2259</v>
      </c>
      <c r="D931" t="s">
        <v>180</v>
      </c>
      <c r="E931" t="s">
        <v>2260</v>
      </c>
      <c r="F931" t="str">
        <f>"00403031"</f>
        <v>00403031</v>
      </c>
      <c r="G931" t="s">
        <v>92</v>
      </c>
      <c r="H931" t="s">
        <v>780</v>
      </c>
      <c r="I931">
        <v>1402</v>
      </c>
      <c r="J931" t="s">
        <v>21</v>
      </c>
      <c r="K931">
        <v>0</v>
      </c>
      <c r="L931" t="s">
        <v>59</v>
      </c>
      <c r="M931">
        <v>1288</v>
      </c>
    </row>
    <row r="932" spans="1:13">
      <c r="A932">
        <v>926</v>
      </c>
      <c r="B932">
        <v>115193</v>
      </c>
      <c r="C932" t="s">
        <v>2261</v>
      </c>
      <c r="D932" t="s">
        <v>218</v>
      </c>
      <c r="E932" t="s">
        <v>2262</v>
      </c>
      <c r="F932" t="str">
        <f>"00035805"</f>
        <v>00035805</v>
      </c>
      <c r="G932" t="s">
        <v>1753</v>
      </c>
      <c r="H932" t="s">
        <v>20</v>
      </c>
      <c r="I932">
        <v>1544</v>
      </c>
      <c r="J932" t="s">
        <v>21</v>
      </c>
      <c r="K932">
        <v>0</v>
      </c>
      <c r="M932">
        <v>1513</v>
      </c>
    </row>
    <row r="933" spans="1:13">
      <c r="A933">
        <v>927</v>
      </c>
      <c r="B933">
        <v>69711</v>
      </c>
      <c r="C933" t="s">
        <v>2263</v>
      </c>
      <c r="D933" t="s">
        <v>2264</v>
      </c>
      <c r="E933" t="s">
        <v>2265</v>
      </c>
      <c r="F933" t="str">
        <f>"00381851"</f>
        <v>00381851</v>
      </c>
      <c r="G933" t="s">
        <v>1079</v>
      </c>
      <c r="H933" t="s">
        <v>20</v>
      </c>
      <c r="I933">
        <v>1433</v>
      </c>
      <c r="J933" t="s">
        <v>21</v>
      </c>
      <c r="K933">
        <v>0</v>
      </c>
      <c r="L933" t="s">
        <v>83</v>
      </c>
      <c r="M933">
        <v>1288</v>
      </c>
    </row>
    <row r="934" spans="1:13">
      <c r="A934">
        <v>928</v>
      </c>
      <c r="B934">
        <v>84773</v>
      </c>
      <c r="C934" t="s">
        <v>2266</v>
      </c>
      <c r="D934" t="s">
        <v>321</v>
      </c>
      <c r="E934" t="s">
        <v>2267</v>
      </c>
      <c r="F934" t="str">
        <f>"00377670"</f>
        <v>00377670</v>
      </c>
      <c r="G934" t="s">
        <v>107</v>
      </c>
      <c r="H934" t="s">
        <v>20</v>
      </c>
      <c r="I934">
        <v>1472</v>
      </c>
      <c r="J934" t="s">
        <v>21</v>
      </c>
      <c r="K934">
        <v>0</v>
      </c>
      <c r="M934">
        <v>1445</v>
      </c>
    </row>
    <row r="935" spans="1:13">
      <c r="A935">
        <v>929</v>
      </c>
      <c r="B935">
        <v>59742</v>
      </c>
      <c r="C935" t="s">
        <v>2268</v>
      </c>
      <c r="D935" t="s">
        <v>288</v>
      </c>
      <c r="E935" t="s">
        <v>2269</v>
      </c>
      <c r="F935" t="str">
        <f>"00280852"</f>
        <v>00280852</v>
      </c>
      <c r="G935" t="s">
        <v>203</v>
      </c>
      <c r="H935" t="s">
        <v>20</v>
      </c>
      <c r="I935">
        <v>1476</v>
      </c>
      <c r="J935" t="s">
        <v>21</v>
      </c>
      <c r="K935">
        <v>6</v>
      </c>
      <c r="L935" t="s">
        <v>35</v>
      </c>
      <c r="M935">
        <v>883</v>
      </c>
    </row>
    <row r="936" spans="1:13">
      <c r="A936">
        <v>930</v>
      </c>
      <c r="B936">
        <v>83741</v>
      </c>
      <c r="C936" t="s">
        <v>2270</v>
      </c>
      <c r="D936" t="s">
        <v>145</v>
      </c>
      <c r="E936" t="s">
        <v>2271</v>
      </c>
      <c r="F936" t="str">
        <f>"00368192"</f>
        <v>00368192</v>
      </c>
      <c r="G936" t="s">
        <v>1079</v>
      </c>
      <c r="H936" t="s">
        <v>20</v>
      </c>
      <c r="I936">
        <v>1433</v>
      </c>
      <c r="J936" t="s">
        <v>21</v>
      </c>
      <c r="K936">
        <v>0</v>
      </c>
      <c r="L936" t="s">
        <v>59</v>
      </c>
      <c r="M936">
        <v>938</v>
      </c>
    </row>
    <row r="937" spans="1:13">
      <c r="A937">
        <v>931</v>
      </c>
      <c r="B937">
        <v>73541</v>
      </c>
      <c r="C937" t="s">
        <v>2272</v>
      </c>
      <c r="D937" t="s">
        <v>121</v>
      </c>
      <c r="E937" t="s">
        <v>2273</v>
      </c>
      <c r="F937" t="str">
        <f>"00390010"</f>
        <v>00390010</v>
      </c>
      <c r="G937" t="s">
        <v>19</v>
      </c>
      <c r="H937" t="s">
        <v>20</v>
      </c>
      <c r="I937">
        <v>1531</v>
      </c>
      <c r="J937" t="s">
        <v>21</v>
      </c>
      <c r="K937">
        <v>0</v>
      </c>
      <c r="M937">
        <v>1388</v>
      </c>
    </row>
    <row r="938" spans="1:13">
      <c r="A938">
        <v>932</v>
      </c>
      <c r="B938">
        <v>109249</v>
      </c>
      <c r="C938" t="s">
        <v>2274</v>
      </c>
      <c r="D938" t="s">
        <v>76</v>
      </c>
      <c r="E938" t="s">
        <v>2275</v>
      </c>
      <c r="F938" t="str">
        <f>"00411342"</f>
        <v>00411342</v>
      </c>
      <c r="G938" t="s">
        <v>107</v>
      </c>
      <c r="H938" t="s">
        <v>20</v>
      </c>
      <c r="I938">
        <v>1472</v>
      </c>
      <c r="J938" t="s">
        <v>21</v>
      </c>
      <c r="K938">
        <v>0</v>
      </c>
      <c r="L938" t="s">
        <v>88</v>
      </c>
      <c r="M938">
        <v>600</v>
      </c>
    </row>
    <row r="939" spans="1:13">
      <c r="A939">
        <v>933</v>
      </c>
      <c r="B939">
        <v>77313</v>
      </c>
      <c r="C939" t="s">
        <v>2276</v>
      </c>
      <c r="D939" t="s">
        <v>563</v>
      </c>
      <c r="E939" t="s">
        <v>2277</v>
      </c>
      <c r="F939" t="str">
        <f>"00025570"</f>
        <v>00025570</v>
      </c>
      <c r="G939" t="s">
        <v>211</v>
      </c>
      <c r="H939" t="s">
        <v>48</v>
      </c>
      <c r="I939">
        <v>1628</v>
      </c>
      <c r="J939" t="s">
        <v>21</v>
      </c>
      <c r="K939">
        <v>0</v>
      </c>
      <c r="L939" t="s">
        <v>35</v>
      </c>
      <c r="M939">
        <v>858</v>
      </c>
    </row>
    <row r="940" spans="1:13">
      <c r="A940">
        <v>934</v>
      </c>
      <c r="B940">
        <v>114732</v>
      </c>
      <c r="C940" t="s">
        <v>2278</v>
      </c>
      <c r="D940" t="s">
        <v>243</v>
      </c>
      <c r="E940" t="s">
        <v>2279</v>
      </c>
      <c r="F940" t="str">
        <f>"00421487"</f>
        <v>00421487</v>
      </c>
      <c r="G940" t="s">
        <v>67</v>
      </c>
      <c r="H940" t="s">
        <v>20</v>
      </c>
      <c r="I940">
        <v>1434</v>
      </c>
      <c r="J940" t="s">
        <v>21</v>
      </c>
      <c r="K940">
        <v>0</v>
      </c>
      <c r="M940">
        <v>1388</v>
      </c>
    </row>
    <row r="941" spans="1:13">
      <c r="A941">
        <v>935</v>
      </c>
      <c r="B941">
        <v>58265</v>
      </c>
      <c r="C941" t="s">
        <v>2280</v>
      </c>
      <c r="D941" t="s">
        <v>76</v>
      </c>
      <c r="E941" t="s">
        <v>2281</v>
      </c>
      <c r="F941" t="str">
        <f>"00363208"</f>
        <v>00363208</v>
      </c>
      <c r="G941" t="s">
        <v>233</v>
      </c>
      <c r="H941" t="s">
        <v>234</v>
      </c>
      <c r="I941">
        <v>1339</v>
      </c>
      <c r="J941" t="s">
        <v>21</v>
      </c>
      <c r="K941">
        <v>6</v>
      </c>
      <c r="L941" t="s">
        <v>35</v>
      </c>
      <c r="M941">
        <v>758</v>
      </c>
    </row>
    <row r="942" spans="1:13">
      <c r="A942">
        <v>936</v>
      </c>
      <c r="B942">
        <v>53333</v>
      </c>
      <c r="C942" t="s">
        <v>2282</v>
      </c>
      <c r="D942" t="s">
        <v>243</v>
      </c>
      <c r="E942" t="s">
        <v>2283</v>
      </c>
      <c r="F942" t="str">
        <f>"00322757"</f>
        <v>00322757</v>
      </c>
      <c r="G942" t="s">
        <v>2284</v>
      </c>
      <c r="H942" t="s">
        <v>2285</v>
      </c>
      <c r="I942">
        <v>1632</v>
      </c>
      <c r="J942" t="s">
        <v>21</v>
      </c>
      <c r="K942">
        <v>0</v>
      </c>
      <c r="M942">
        <v>1361</v>
      </c>
    </row>
    <row r="943" spans="1:13">
      <c r="A943">
        <v>937</v>
      </c>
      <c r="B943">
        <v>95531</v>
      </c>
      <c r="C943" t="s">
        <v>2286</v>
      </c>
      <c r="D943" t="s">
        <v>180</v>
      </c>
      <c r="E943" t="s">
        <v>2287</v>
      </c>
      <c r="F943" t="str">
        <f>"00279818"</f>
        <v>00279818</v>
      </c>
      <c r="G943" t="s">
        <v>203</v>
      </c>
      <c r="H943" t="s">
        <v>20</v>
      </c>
      <c r="I943">
        <v>1476</v>
      </c>
      <c r="J943" t="s">
        <v>21</v>
      </c>
      <c r="K943">
        <v>6</v>
      </c>
      <c r="M943">
        <v>1378</v>
      </c>
    </row>
    <row r="944" spans="1:13">
      <c r="A944">
        <v>938</v>
      </c>
      <c r="B944">
        <v>56134</v>
      </c>
      <c r="C944" t="s">
        <v>2288</v>
      </c>
      <c r="D944" t="s">
        <v>80</v>
      </c>
      <c r="E944" t="s">
        <v>2289</v>
      </c>
      <c r="F944" t="str">
        <f>"00377378"</f>
        <v>00377378</v>
      </c>
      <c r="G944" t="s">
        <v>760</v>
      </c>
      <c r="H944" t="s">
        <v>20</v>
      </c>
      <c r="I944">
        <v>1432</v>
      </c>
      <c r="J944" t="s">
        <v>21</v>
      </c>
      <c r="K944">
        <v>0</v>
      </c>
      <c r="M944">
        <v>1484</v>
      </c>
    </row>
    <row r="945" spans="1:13">
      <c r="A945">
        <v>939</v>
      </c>
      <c r="B945">
        <v>92750</v>
      </c>
      <c r="C945" t="s">
        <v>2290</v>
      </c>
      <c r="D945" t="s">
        <v>76</v>
      </c>
      <c r="E945" t="s">
        <v>2291</v>
      </c>
      <c r="F945" t="str">
        <f>"00387956"</f>
        <v>00387956</v>
      </c>
      <c r="G945" t="s">
        <v>1556</v>
      </c>
      <c r="H945" t="s">
        <v>20</v>
      </c>
      <c r="I945">
        <v>1530</v>
      </c>
      <c r="J945" t="s">
        <v>21</v>
      </c>
      <c r="K945">
        <v>0</v>
      </c>
      <c r="L945" t="s">
        <v>59</v>
      </c>
      <c r="M945">
        <v>1188</v>
      </c>
    </row>
    <row r="946" spans="1:13">
      <c r="A946">
        <v>940</v>
      </c>
      <c r="B946">
        <v>108440</v>
      </c>
      <c r="C946" t="s">
        <v>2292</v>
      </c>
      <c r="D946" t="s">
        <v>2293</v>
      </c>
      <c r="E946" t="s">
        <v>2294</v>
      </c>
      <c r="F946" t="str">
        <f>"00309152"</f>
        <v>00309152</v>
      </c>
      <c r="G946" t="s">
        <v>170</v>
      </c>
      <c r="H946" t="s">
        <v>1144</v>
      </c>
      <c r="I946">
        <v>1635</v>
      </c>
      <c r="J946" t="s">
        <v>21</v>
      </c>
      <c r="K946">
        <v>0</v>
      </c>
      <c r="M946">
        <v>1388</v>
      </c>
    </row>
    <row r="947" spans="1:13">
      <c r="A947">
        <v>941</v>
      </c>
      <c r="B947">
        <v>90531</v>
      </c>
      <c r="C947" t="s">
        <v>2295</v>
      </c>
      <c r="D947" t="s">
        <v>121</v>
      </c>
      <c r="E947" t="s">
        <v>2296</v>
      </c>
      <c r="F947" t="str">
        <f>"00190631"</f>
        <v>00190631</v>
      </c>
      <c r="G947" t="s">
        <v>465</v>
      </c>
      <c r="H947" t="s">
        <v>20</v>
      </c>
      <c r="I947">
        <v>1534</v>
      </c>
      <c r="J947" t="s">
        <v>21</v>
      </c>
      <c r="K947">
        <v>0</v>
      </c>
      <c r="L947" t="s">
        <v>35</v>
      </c>
      <c r="M947">
        <v>850</v>
      </c>
    </row>
    <row r="948" spans="1:13">
      <c r="A948">
        <v>942</v>
      </c>
      <c r="B948">
        <v>83099</v>
      </c>
      <c r="C948" t="s">
        <v>2297</v>
      </c>
      <c r="D948" t="s">
        <v>180</v>
      </c>
      <c r="E948" t="s">
        <v>2298</v>
      </c>
      <c r="F948" t="str">
        <f>"00394410"</f>
        <v>00394410</v>
      </c>
      <c r="G948" t="s">
        <v>125</v>
      </c>
      <c r="H948" t="s">
        <v>20</v>
      </c>
      <c r="I948">
        <v>1507</v>
      </c>
      <c r="J948" t="s">
        <v>21</v>
      </c>
      <c r="K948">
        <v>0</v>
      </c>
      <c r="M948">
        <v>1428</v>
      </c>
    </row>
    <row r="949" spans="1:13">
      <c r="A949">
        <v>943</v>
      </c>
      <c r="B949">
        <v>101933</v>
      </c>
      <c r="C949" t="s">
        <v>2299</v>
      </c>
      <c r="D949" t="s">
        <v>316</v>
      </c>
      <c r="E949" t="s">
        <v>2300</v>
      </c>
      <c r="F949" t="str">
        <f>"00258952"</f>
        <v>00258952</v>
      </c>
      <c r="G949" t="s">
        <v>125</v>
      </c>
      <c r="H949" t="s">
        <v>20</v>
      </c>
      <c r="I949">
        <v>1507</v>
      </c>
      <c r="J949" t="s">
        <v>21</v>
      </c>
      <c r="K949">
        <v>0</v>
      </c>
      <c r="M949">
        <v>1528</v>
      </c>
    </row>
    <row r="950" spans="1:13">
      <c r="A950">
        <v>944</v>
      </c>
      <c r="B950">
        <v>61122</v>
      </c>
      <c r="C950" t="s">
        <v>2301</v>
      </c>
      <c r="D950" t="s">
        <v>145</v>
      </c>
      <c r="E950" t="s">
        <v>2302</v>
      </c>
      <c r="F950" t="str">
        <f>"00252420"</f>
        <v>00252420</v>
      </c>
      <c r="G950" t="s">
        <v>1561</v>
      </c>
      <c r="H950" t="s">
        <v>1562</v>
      </c>
      <c r="I950">
        <v>1616</v>
      </c>
      <c r="J950" t="s">
        <v>21</v>
      </c>
      <c r="K950">
        <v>0</v>
      </c>
      <c r="L950" t="s">
        <v>35</v>
      </c>
      <c r="M950">
        <v>1058</v>
      </c>
    </row>
    <row r="951" spans="1:13">
      <c r="A951">
        <v>945</v>
      </c>
      <c r="B951">
        <v>76682</v>
      </c>
      <c r="C951" t="s">
        <v>2303</v>
      </c>
      <c r="D951" t="s">
        <v>76</v>
      </c>
      <c r="E951" t="s">
        <v>2304</v>
      </c>
      <c r="F951" t="str">
        <f>"00370662"</f>
        <v>00370662</v>
      </c>
      <c r="G951" t="s">
        <v>2305</v>
      </c>
      <c r="H951" t="s">
        <v>2306</v>
      </c>
      <c r="I951">
        <v>1369</v>
      </c>
      <c r="J951" t="s">
        <v>21</v>
      </c>
      <c r="K951">
        <v>0</v>
      </c>
      <c r="M951">
        <v>1428</v>
      </c>
    </row>
    <row r="952" spans="1:13">
      <c r="A952">
        <v>946</v>
      </c>
      <c r="B952">
        <v>73384</v>
      </c>
      <c r="C952" t="s">
        <v>2307</v>
      </c>
      <c r="D952" t="s">
        <v>98</v>
      </c>
      <c r="E952" t="s">
        <v>2308</v>
      </c>
      <c r="F952" t="str">
        <f>"00079490"</f>
        <v>00079490</v>
      </c>
      <c r="G952" t="s">
        <v>92</v>
      </c>
      <c r="H952" t="s">
        <v>20</v>
      </c>
      <c r="I952">
        <v>1425</v>
      </c>
      <c r="J952" t="s">
        <v>21</v>
      </c>
      <c r="K952">
        <v>0</v>
      </c>
      <c r="M952">
        <v>1688</v>
      </c>
    </row>
    <row r="953" spans="1:13">
      <c r="A953">
        <v>947</v>
      </c>
      <c r="B953">
        <v>46317</v>
      </c>
      <c r="C953" t="s">
        <v>2309</v>
      </c>
      <c r="D953" t="s">
        <v>145</v>
      </c>
      <c r="E953" t="s">
        <v>2310</v>
      </c>
      <c r="F953" t="str">
        <f>"00300261"</f>
        <v>00300261</v>
      </c>
      <c r="G953" t="s">
        <v>307</v>
      </c>
      <c r="H953" t="s">
        <v>326</v>
      </c>
      <c r="I953">
        <v>1594</v>
      </c>
      <c r="J953" t="s">
        <v>21</v>
      </c>
      <c r="K953">
        <v>0</v>
      </c>
      <c r="M953">
        <v>1388</v>
      </c>
    </row>
    <row r="954" spans="1:13">
      <c r="A954">
        <v>948</v>
      </c>
      <c r="B954">
        <v>68970</v>
      </c>
      <c r="C954" t="s">
        <v>2311</v>
      </c>
      <c r="D954" t="s">
        <v>180</v>
      </c>
      <c r="E954" t="s">
        <v>2312</v>
      </c>
      <c r="F954" t="str">
        <f>"00407188"</f>
        <v>00407188</v>
      </c>
      <c r="G954" t="s">
        <v>47</v>
      </c>
      <c r="H954" t="s">
        <v>48</v>
      </c>
      <c r="I954">
        <v>1623</v>
      </c>
      <c r="J954" t="s">
        <v>21</v>
      </c>
      <c r="K954">
        <v>0</v>
      </c>
      <c r="L954" t="s">
        <v>35</v>
      </c>
      <c r="M954">
        <v>858</v>
      </c>
    </row>
    <row r="955" spans="1:13">
      <c r="A955">
        <v>949</v>
      </c>
      <c r="B955">
        <v>71954</v>
      </c>
      <c r="C955" t="s">
        <v>2313</v>
      </c>
      <c r="D955" t="s">
        <v>80</v>
      </c>
      <c r="E955" t="s">
        <v>2314</v>
      </c>
      <c r="F955" t="str">
        <f>"00386058"</f>
        <v>00386058</v>
      </c>
      <c r="G955" t="s">
        <v>358</v>
      </c>
      <c r="H955" t="s">
        <v>20</v>
      </c>
      <c r="I955">
        <v>1549</v>
      </c>
      <c r="J955" t="s">
        <v>21</v>
      </c>
      <c r="K955">
        <v>0</v>
      </c>
      <c r="L955" t="s">
        <v>59</v>
      </c>
      <c r="M955">
        <v>1118</v>
      </c>
    </row>
    <row r="956" spans="1:13">
      <c r="A956">
        <v>950</v>
      </c>
      <c r="B956">
        <v>48688</v>
      </c>
      <c r="C956" t="s">
        <v>2315</v>
      </c>
      <c r="D956" t="s">
        <v>121</v>
      </c>
      <c r="E956" t="s">
        <v>2316</v>
      </c>
      <c r="F956" t="str">
        <f>"00365572"</f>
        <v>00365572</v>
      </c>
      <c r="G956" t="s">
        <v>150</v>
      </c>
      <c r="H956" t="s">
        <v>151</v>
      </c>
      <c r="I956">
        <v>1699</v>
      </c>
      <c r="J956" t="s">
        <v>21</v>
      </c>
      <c r="K956">
        <v>0</v>
      </c>
      <c r="L956" t="s">
        <v>59</v>
      </c>
      <c r="M956">
        <v>839</v>
      </c>
    </row>
    <row r="957" spans="1:13">
      <c r="A957">
        <v>951</v>
      </c>
      <c r="B957">
        <v>98054</v>
      </c>
      <c r="C957" t="s">
        <v>2317</v>
      </c>
      <c r="D957" t="s">
        <v>243</v>
      </c>
      <c r="E957" t="s">
        <v>2318</v>
      </c>
      <c r="F957" t="str">
        <f>"00260848"</f>
        <v>00260848</v>
      </c>
      <c r="G957" t="s">
        <v>737</v>
      </c>
      <c r="H957" t="s">
        <v>2319</v>
      </c>
      <c r="I957">
        <v>1651</v>
      </c>
      <c r="J957" t="s">
        <v>21</v>
      </c>
      <c r="K957">
        <v>6</v>
      </c>
      <c r="M957">
        <v>1088</v>
      </c>
    </row>
    <row r="958" spans="1:13">
      <c r="A958">
        <v>952</v>
      </c>
      <c r="B958">
        <v>78846</v>
      </c>
      <c r="C958" t="s">
        <v>2320</v>
      </c>
      <c r="D958" t="s">
        <v>163</v>
      </c>
      <c r="E958" t="s">
        <v>2321</v>
      </c>
      <c r="F958" t="str">
        <f>"00406320"</f>
        <v>00406320</v>
      </c>
      <c r="G958" t="s">
        <v>2322</v>
      </c>
      <c r="H958" t="s">
        <v>1610</v>
      </c>
      <c r="I958">
        <v>1310</v>
      </c>
      <c r="J958" t="s">
        <v>21</v>
      </c>
      <c r="K958">
        <v>0</v>
      </c>
      <c r="M958">
        <v>1438</v>
      </c>
    </row>
    <row r="959" spans="1:13">
      <c r="A959">
        <v>953</v>
      </c>
      <c r="B959">
        <v>59317</v>
      </c>
      <c r="C959" t="s">
        <v>2323</v>
      </c>
      <c r="D959" t="s">
        <v>80</v>
      </c>
      <c r="E959" t="s">
        <v>2324</v>
      </c>
      <c r="F959" t="str">
        <f>"00252204"</f>
        <v>00252204</v>
      </c>
      <c r="G959" t="s">
        <v>1595</v>
      </c>
      <c r="H959" t="s">
        <v>20</v>
      </c>
      <c r="I959">
        <v>1538</v>
      </c>
      <c r="J959" t="s">
        <v>21</v>
      </c>
      <c r="K959">
        <v>6</v>
      </c>
      <c r="L959" t="s">
        <v>35</v>
      </c>
      <c r="M959">
        <v>641</v>
      </c>
    </row>
    <row r="960" spans="1:13">
      <c r="A960">
        <v>954</v>
      </c>
      <c r="B960">
        <v>116189</v>
      </c>
      <c r="C960" t="s">
        <v>2325</v>
      </c>
      <c r="D960" t="s">
        <v>105</v>
      </c>
      <c r="E960" t="s">
        <v>2326</v>
      </c>
      <c r="F960" t="str">
        <f>"00406861"</f>
        <v>00406861</v>
      </c>
      <c r="G960" t="s">
        <v>299</v>
      </c>
      <c r="H960" t="s">
        <v>20</v>
      </c>
      <c r="I960">
        <v>1490</v>
      </c>
      <c r="J960" t="s">
        <v>21</v>
      </c>
      <c r="K960">
        <v>0</v>
      </c>
      <c r="L960" t="s">
        <v>35</v>
      </c>
      <c r="M960">
        <v>900</v>
      </c>
    </row>
    <row r="961" spans="1:13">
      <c r="A961">
        <v>955</v>
      </c>
      <c r="B961">
        <v>81286</v>
      </c>
      <c r="C961" t="s">
        <v>2327</v>
      </c>
      <c r="D961" t="s">
        <v>158</v>
      </c>
      <c r="E961" t="s">
        <v>2328</v>
      </c>
      <c r="F961" t="str">
        <f>"00231114"</f>
        <v>00231114</v>
      </c>
      <c r="G961" t="s">
        <v>211</v>
      </c>
      <c r="H961" t="s">
        <v>48</v>
      </c>
      <c r="I961">
        <v>1628</v>
      </c>
      <c r="J961" t="s">
        <v>21</v>
      </c>
      <c r="K961">
        <v>0</v>
      </c>
      <c r="M961">
        <v>1728</v>
      </c>
    </row>
    <row r="962" spans="1:13">
      <c r="A962">
        <v>956</v>
      </c>
      <c r="B962">
        <v>63833</v>
      </c>
      <c r="C962" t="s">
        <v>2329</v>
      </c>
      <c r="D962" t="s">
        <v>2330</v>
      </c>
      <c r="E962" t="s">
        <v>2331</v>
      </c>
      <c r="F962" t="str">
        <f>"00285661"</f>
        <v>00285661</v>
      </c>
      <c r="G962" t="s">
        <v>985</v>
      </c>
      <c r="H962" t="s">
        <v>20</v>
      </c>
      <c r="I962">
        <v>1550</v>
      </c>
      <c r="J962" t="s">
        <v>21</v>
      </c>
      <c r="K962">
        <v>6</v>
      </c>
      <c r="L962" t="s">
        <v>35</v>
      </c>
      <c r="M962">
        <v>908</v>
      </c>
    </row>
    <row r="963" spans="1:13">
      <c r="A963">
        <v>957</v>
      </c>
      <c r="B963">
        <v>85578</v>
      </c>
      <c r="C963" t="s">
        <v>2332</v>
      </c>
      <c r="D963" t="s">
        <v>180</v>
      </c>
      <c r="E963" t="s">
        <v>2333</v>
      </c>
      <c r="F963" t="str">
        <f>"00319314"</f>
        <v>00319314</v>
      </c>
      <c r="G963" t="s">
        <v>380</v>
      </c>
      <c r="H963" t="s">
        <v>137</v>
      </c>
      <c r="I963">
        <v>1615</v>
      </c>
      <c r="J963" t="s">
        <v>21</v>
      </c>
      <c r="K963">
        <v>0</v>
      </c>
      <c r="L963" t="s">
        <v>35</v>
      </c>
      <c r="M963">
        <v>1022</v>
      </c>
    </row>
    <row r="964" spans="1:13">
      <c r="A964">
        <v>958</v>
      </c>
      <c r="B964">
        <v>89982</v>
      </c>
      <c r="C964" t="s">
        <v>2334</v>
      </c>
      <c r="D964" t="s">
        <v>76</v>
      </c>
      <c r="E964" t="s">
        <v>2335</v>
      </c>
      <c r="F964" t="str">
        <f>"00398047"</f>
        <v>00398047</v>
      </c>
      <c r="G964" t="s">
        <v>233</v>
      </c>
      <c r="H964" t="s">
        <v>234</v>
      </c>
      <c r="I964">
        <v>1339</v>
      </c>
      <c r="J964" t="s">
        <v>21</v>
      </c>
      <c r="K964">
        <v>6</v>
      </c>
      <c r="M964">
        <v>1038</v>
      </c>
    </row>
    <row r="965" spans="1:13">
      <c r="A965">
        <v>959</v>
      </c>
      <c r="B965">
        <v>90428</v>
      </c>
      <c r="C965" t="s">
        <v>2336</v>
      </c>
      <c r="D965" t="s">
        <v>76</v>
      </c>
      <c r="E965" t="s">
        <v>2337</v>
      </c>
      <c r="F965" t="str">
        <f>"00385689"</f>
        <v>00385689</v>
      </c>
      <c r="G965" t="s">
        <v>230</v>
      </c>
      <c r="H965" t="s">
        <v>20</v>
      </c>
      <c r="I965">
        <v>1545</v>
      </c>
      <c r="J965" t="s">
        <v>21</v>
      </c>
      <c r="K965">
        <v>0</v>
      </c>
      <c r="L965" t="s">
        <v>112</v>
      </c>
      <c r="M965">
        <v>908</v>
      </c>
    </row>
    <row r="966" spans="1:13">
      <c r="A966">
        <v>960</v>
      </c>
      <c r="B966">
        <v>110821</v>
      </c>
      <c r="C966" t="s">
        <v>2338</v>
      </c>
      <c r="D966" t="s">
        <v>180</v>
      </c>
      <c r="E966" t="s">
        <v>2339</v>
      </c>
      <c r="F966" t="str">
        <f>"00417504"</f>
        <v>00417504</v>
      </c>
      <c r="G966" t="s">
        <v>1155</v>
      </c>
      <c r="H966" t="s">
        <v>20</v>
      </c>
      <c r="I966">
        <v>1480</v>
      </c>
      <c r="J966" t="s">
        <v>21</v>
      </c>
      <c r="K966">
        <v>0</v>
      </c>
      <c r="M966">
        <v>1578</v>
      </c>
    </row>
    <row r="967" spans="1:13">
      <c r="A967">
        <v>961</v>
      </c>
      <c r="B967">
        <v>101874</v>
      </c>
      <c r="C967" t="s">
        <v>2340</v>
      </c>
      <c r="D967" t="s">
        <v>76</v>
      </c>
      <c r="E967" t="s">
        <v>2341</v>
      </c>
      <c r="F967" t="str">
        <f>"201511006772"</f>
        <v>201511006772</v>
      </c>
      <c r="G967" t="s">
        <v>107</v>
      </c>
      <c r="H967" t="s">
        <v>20</v>
      </c>
      <c r="I967">
        <v>1472</v>
      </c>
      <c r="J967" t="s">
        <v>21</v>
      </c>
      <c r="K967">
        <v>0</v>
      </c>
      <c r="L967" t="s">
        <v>35</v>
      </c>
      <c r="M967">
        <v>1300</v>
      </c>
    </row>
    <row r="968" spans="1:13">
      <c r="A968">
        <v>962</v>
      </c>
      <c r="B968">
        <v>45990</v>
      </c>
      <c r="C968" t="s">
        <v>2342</v>
      </c>
      <c r="D968" t="s">
        <v>76</v>
      </c>
      <c r="E968" t="s">
        <v>2343</v>
      </c>
      <c r="F968" t="str">
        <f>"200802003140"</f>
        <v>200802003140</v>
      </c>
      <c r="G968" t="s">
        <v>107</v>
      </c>
      <c r="H968" t="s">
        <v>20</v>
      </c>
      <c r="I968">
        <v>1472</v>
      </c>
      <c r="J968" t="s">
        <v>21</v>
      </c>
      <c r="K968">
        <v>0</v>
      </c>
      <c r="M968">
        <v>1400</v>
      </c>
    </row>
    <row r="969" spans="1:13">
      <c r="A969">
        <v>963</v>
      </c>
      <c r="B969">
        <v>96079</v>
      </c>
      <c r="C969" t="s">
        <v>2344</v>
      </c>
      <c r="D969" t="s">
        <v>180</v>
      </c>
      <c r="E969" t="s">
        <v>2345</v>
      </c>
      <c r="F969" t="str">
        <f>"00419542"</f>
        <v>00419542</v>
      </c>
      <c r="G969" t="s">
        <v>418</v>
      </c>
      <c r="H969" t="s">
        <v>234</v>
      </c>
      <c r="I969">
        <v>1335</v>
      </c>
      <c r="J969" t="s">
        <v>21</v>
      </c>
      <c r="K969">
        <v>6</v>
      </c>
      <c r="L969" t="s">
        <v>83</v>
      </c>
      <c r="M969">
        <v>1388</v>
      </c>
    </row>
    <row r="970" spans="1:13">
      <c r="A970">
        <v>964</v>
      </c>
      <c r="B970">
        <v>104057</v>
      </c>
      <c r="C970" t="s">
        <v>2346</v>
      </c>
      <c r="D970" t="s">
        <v>260</v>
      </c>
      <c r="E970" t="s">
        <v>2347</v>
      </c>
      <c r="F970" t="str">
        <f>"00367229"</f>
        <v>00367229</v>
      </c>
      <c r="G970" t="s">
        <v>2348</v>
      </c>
      <c r="H970" t="s">
        <v>20</v>
      </c>
      <c r="I970">
        <v>1571</v>
      </c>
      <c r="J970" t="s">
        <v>21</v>
      </c>
      <c r="K970">
        <v>6</v>
      </c>
      <c r="L970" t="s">
        <v>35</v>
      </c>
      <c r="M970">
        <v>1100</v>
      </c>
    </row>
    <row r="971" spans="1:13">
      <c r="A971">
        <v>965</v>
      </c>
      <c r="B971">
        <v>61833</v>
      </c>
      <c r="C971" t="s">
        <v>2349</v>
      </c>
      <c r="D971" t="s">
        <v>2350</v>
      </c>
      <c r="E971" t="s">
        <v>2351</v>
      </c>
      <c r="F971" t="str">
        <f>"00367496"</f>
        <v>00367496</v>
      </c>
      <c r="G971" t="s">
        <v>203</v>
      </c>
      <c r="H971" t="s">
        <v>20</v>
      </c>
      <c r="I971">
        <v>1476</v>
      </c>
      <c r="J971" t="s">
        <v>21</v>
      </c>
      <c r="K971">
        <v>6</v>
      </c>
      <c r="L971" t="s">
        <v>112</v>
      </c>
      <c r="M971">
        <v>300</v>
      </c>
    </row>
    <row r="972" spans="1:13">
      <c r="A972">
        <v>966</v>
      </c>
      <c r="B972">
        <v>96248</v>
      </c>
      <c r="C972" t="s">
        <v>2352</v>
      </c>
      <c r="D972" t="s">
        <v>85</v>
      </c>
      <c r="E972" t="s">
        <v>2353</v>
      </c>
      <c r="F972" t="str">
        <f>"00018066"</f>
        <v>00018066</v>
      </c>
      <c r="G972" t="s">
        <v>107</v>
      </c>
      <c r="H972" t="s">
        <v>20</v>
      </c>
      <c r="I972">
        <v>1472</v>
      </c>
      <c r="J972" t="s">
        <v>21</v>
      </c>
      <c r="K972">
        <v>0</v>
      </c>
      <c r="M972">
        <v>1448</v>
      </c>
    </row>
    <row r="973" spans="1:13">
      <c r="A973">
        <v>967</v>
      </c>
      <c r="B973">
        <v>62254</v>
      </c>
      <c r="C973" t="s">
        <v>2354</v>
      </c>
      <c r="D973" t="s">
        <v>90</v>
      </c>
      <c r="E973" t="s">
        <v>2355</v>
      </c>
      <c r="F973" t="str">
        <f>"00041840"</f>
        <v>00041840</v>
      </c>
      <c r="G973" t="s">
        <v>2348</v>
      </c>
      <c r="H973" t="s">
        <v>2356</v>
      </c>
      <c r="I973">
        <v>1652</v>
      </c>
      <c r="J973" t="s">
        <v>21</v>
      </c>
      <c r="K973">
        <v>6</v>
      </c>
      <c r="M973">
        <v>1428</v>
      </c>
    </row>
    <row r="974" spans="1:13">
      <c r="A974">
        <v>968</v>
      </c>
      <c r="B974">
        <v>85480</v>
      </c>
      <c r="C974" t="s">
        <v>2357</v>
      </c>
      <c r="D974" t="s">
        <v>628</v>
      </c>
      <c r="E974" t="s">
        <v>2358</v>
      </c>
      <c r="F974" t="str">
        <f>"00398368"</f>
        <v>00398368</v>
      </c>
      <c r="G974" t="s">
        <v>107</v>
      </c>
      <c r="H974" t="s">
        <v>20</v>
      </c>
      <c r="I974">
        <v>1472</v>
      </c>
      <c r="J974" t="s">
        <v>21</v>
      </c>
      <c r="K974">
        <v>0</v>
      </c>
      <c r="L974" t="s">
        <v>35</v>
      </c>
      <c r="M974">
        <v>908</v>
      </c>
    </row>
    <row r="975" spans="1:13">
      <c r="A975">
        <v>969</v>
      </c>
      <c r="B975">
        <v>46537</v>
      </c>
      <c r="C975" t="s">
        <v>2359</v>
      </c>
      <c r="D975" t="s">
        <v>180</v>
      </c>
      <c r="E975" t="s">
        <v>2360</v>
      </c>
      <c r="F975" t="str">
        <f>"00261457"</f>
        <v>00261457</v>
      </c>
      <c r="G975" t="s">
        <v>107</v>
      </c>
      <c r="H975" t="s">
        <v>20</v>
      </c>
      <c r="I975">
        <v>1472</v>
      </c>
      <c r="J975" t="s">
        <v>21</v>
      </c>
      <c r="K975">
        <v>0</v>
      </c>
      <c r="L975" t="s">
        <v>35</v>
      </c>
      <c r="M975">
        <v>986</v>
      </c>
    </row>
    <row r="976" spans="1:13">
      <c r="A976">
        <v>970</v>
      </c>
      <c r="B976">
        <v>91448</v>
      </c>
      <c r="C976" t="s">
        <v>2361</v>
      </c>
      <c r="D976" t="s">
        <v>243</v>
      </c>
      <c r="E976" t="s">
        <v>2362</v>
      </c>
      <c r="F976" t="str">
        <f>"00250961"</f>
        <v>00250961</v>
      </c>
      <c r="G976" t="s">
        <v>47</v>
      </c>
      <c r="H976" t="s">
        <v>48</v>
      </c>
      <c r="I976">
        <v>1623</v>
      </c>
      <c r="J976" t="s">
        <v>21</v>
      </c>
      <c r="K976">
        <v>0</v>
      </c>
      <c r="M976">
        <v>1388</v>
      </c>
    </row>
    <row r="977" spans="1:13">
      <c r="A977">
        <v>971</v>
      </c>
      <c r="B977">
        <v>78232</v>
      </c>
      <c r="C977" t="s">
        <v>2363</v>
      </c>
      <c r="D977" t="s">
        <v>109</v>
      </c>
      <c r="E977" t="s">
        <v>2364</v>
      </c>
      <c r="F977" t="str">
        <f>"00387982"</f>
        <v>00387982</v>
      </c>
      <c r="G977" t="s">
        <v>47</v>
      </c>
      <c r="H977" t="s">
        <v>48</v>
      </c>
      <c r="I977">
        <v>1623</v>
      </c>
      <c r="J977" t="s">
        <v>21</v>
      </c>
      <c r="K977">
        <v>0</v>
      </c>
      <c r="L977" t="s">
        <v>35</v>
      </c>
      <c r="M977">
        <v>900</v>
      </c>
    </row>
    <row r="978" spans="1:13">
      <c r="A978">
        <v>972</v>
      </c>
      <c r="B978">
        <v>101158</v>
      </c>
      <c r="C978" t="s">
        <v>2365</v>
      </c>
      <c r="D978" t="s">
        <v>76</v>
      </c>
      <c r="E978" t="s">
        <v>2366</v>
      </c>
      <c r="F978" t="str">
        <f>"00263564"</f>
        <v>00263564</v>
      </c>
      <c r="G978" t="s">
        <v>207</v>
      </c>
      <c r="H978" t="s">
        <v>20</v>
      </c>
      <c r="I978">
        <v>1560</v>
      </c>
      <c r="J978" t="s">
        <v>21</v>
      </c>
      <c r="K978">
        <v>6</v>
      </c>
      <c r="M978">
        <v>1428</v>
      </c>
    </row>
    <row r="979" spans="1:13">
      <c r="A979">
        <v>973</v>
      </c>
      <c r="B979">
        <v>60205</v>
      </c>
      <c r="C979" t="s">
        <v>2367</v>
      </c>
      <c r="D979" t="s">
        <v>914</v>
      </c>
      <c r="E979" t="s">
        <v>2368</v>
      </c>
      <c r="F979" t="str">
        <f>"00309991"</f>
        <v>00309991</v>
      </c>
      <c r="G979" t="s">
        <v>2369</v>
      </c>
      <c r="H979" t="s">
        <v>241</v>
      </c>
      <c r="I979">
        <v>1364</v>
      </c>
      <c r="J979" t="s">
        <v>21</v>
      </c>
      <c r="K979">
        <v>6</v>
      </c>
      <c r="M979">
        <v>1388</v>
      </c>
    </row>
    <row r="980" spans="1:13">
      <c r="A980">
        <v>974</v>
      </c>
      <c r="B980">
        <v>56416</v>
      </c>
      <c r="C980" t="s">
        <v>2370</v>
      </c>
      <c r="D980" t="s">
        <v>73</v>
      </c>
      <c r="E980" t="s">
        <v>2371</v>
      </c>
      <c r="F980" t="str">
        <f>"00311085"</f>
        <v>00311085</v>
      </c>
      <c r="G980" t="s">
        <v>150</v>
      </c>
      <c r="H980" t="s">
        <v>151</v>
      </c>
      <c r="I980">
        <v>1699</v>
      </c>
      <c r="J980" t="s">
        <v>21</v>
      </c>
      <c r="K980">
        <v>0</v>
      </c>
      <c r="L980" t="s">
        <v>59</v>
      </c>
      <c r="M980">
        <v>888</v>
      </c>
    </row>
    <row r="981" spans="1:13">
      <c r="A981">
        <v>975</v>
      </c>
      <c r="B981">
        <v>50425</v>
      </c>
      <c r="C981" t="s">
        <v>2372</v>
      </c>
      <c r="D981" t="s">
        <v>145</v>
      </c>
      <c r="E981" t="s">
        <v>2373</v>
      </c>
      <c r="F981" t="str">
        <f>"201510001189"</f>
        <v>201510001189</v>
      </c>
      <c r="G981" t="s">
        <v>47</v>
      </c>
      <c r="H981" t="s">
        <v>48</v>
      </c>
      <c r="I981">
        <v>1623</v>
      </c>
      <c r="J981" t="s">
        <v>21</v>
      </c>
      <c r="K981">
        <v>0</v>
      </c>
      <c r="M981">
        <v>1428</v>
      </c>
    </row>
    <row r="982" spans="1:13">
      <c r="A982">
        <v>976</v>
      </c>
      <c r="B982">
        <v>101270</v>
      </c>
      <c r="C982" t="s">
        <v>2374</v>
      </c>
      <c r="D982" t="s">
        <v>213</v>
      </c>
      <c r="E982" t="s">
        <v>2375</v>
      </c>
      <c r="F982" t="str">
        <f>"00278080"</f>
        <v>00278080</v>
      </c>
      <c r="G982" t="s">
        <v>150</v>
      </c>
      <c r="H982" t="s">
        <v>151</v>
      </c>
      <c r="I982">
        <v>1699</v>
      </c>
      <c r="J982" t="s">
        <v>21</v>
      </c>
      <c r="K982">
        <v>0</v>
      </c>
      <c r="L982" t="s">
        <v>83</v>
      </c>
      <c r="M982">
        <v>1198</v>
      </c>
    </row>
    <row r="983" spans="1:13">
      <c r="A983">
        <v>977</v>
      </c>
      <c r="B983">
        <v>73003</v>
      </c>
      <c r="C983" t="s">
        <v>2376</v>
      </c>
      <c r="D983" t="s">
        <v>94</v>
      </c>
      <c r="E983" t="s">
        <v>2377</v>
      </c>
      <c r="F983" t="str">
        <f>"00314131"</f>
        <v>00314131</v>
      </c>
      <c r="G983" t="s">
        <v>230</v>
      </c>
      <c r="H983" t="s">
        <v>20</v>
      </c>
      <c r="I983">
        <v>1545</v>
      </c>
      <c r="J983" t="s">
        <v>21</v>
      </c>
      <c r="K983">
        <v>0</v>
      </c>
      <c r="L983" t="s">
        <v>59</v>
      </c>
      <c r="M983">
        <v>988</v>
      </c>
    </row>
    <row r="984" spans="1:13">
      <c r="A984">
        <v>978</v>
      </c>
      <c r="B984">
        <v>107466</v>
      </c>
      <c r="C984" t="s">
        <v>2378</v>
      </c>
      <c r="D984" t="s">
        <v>80</v>
      </c>
      <c r="E984" t="s">
        <v>2379</v>
      </c>
      <c r="F984" t="str">
        <f>"00423506"</f>
        <v>00423506</v>
      </c>
      <c r="G984" t="s">
        <v>278</v>
      </c>
      <c r="H984" t="s">
        <v>20</v>
      </c>
      <c r="I984">
        <v>1441</v>
      </c>
      <c r="J984" t="s">
        <v>21</v>
      </c>
      <c r="K984">
        <v>0</v>
      </c>
      <c r="L984" t="s">
        <v>35</v>
      </c>
      <c r="M984">
        <v>1217</v>
      </c>
    </row>
    <row r="985" spans="1:13">
      <c r="A985">
        <v>979</v>
      </c>
      <c r="B985">
        <v>88513</v>
      </c>
      <c r="C985" t="s">
        <v>2380</v>
      </c>
      <c r="D985" t="s">
        <v>105</v>
      </c>
      <c r="E985" t="s">
        <v>2381</v>
      </c>
      <c r="F985" t="str">
        <f>"00371531"</f>
        <v>00371531</v>
      </c>
      <c r="G985" t="s">
        <v>42</v>
      </c>
      <c r="H985" t="s">
        <v>43</v>
      </c>
      <c r="I985">
        <v>1712</v>
      </c>
      <c r="J985" t="s">
        <v>21</v>
      </c>
      <c r="K985">
        <v>0</v>
      </c>
      <c r="L985" t="s">
        <v>59</v>
      </c>
      <c r="M985">
        <v>1228</v>
      </c>
    </row>
    <row r="986" spans="1:13">
      <c r="A986">
        <v>980</v>
      </c>
      <c r="B986">
        <v>47349</v>
      </c>
      <c r="C986" t="s">
        <v>2382</v>
      </c>
      <c r="D986" t="s">
        <v>76</v>
      </c>
      <c r="E986" t="s">
        <v>2383</v>
      </c>
      <c r="F986" t="str">
        <f>"00143489"</f>
        <v>00143489</v>
      </c>
      <c r="G986" t="s">
        <v>2025</v>
      </c>
      <c r="H986" t="s">
        <v>20</v>
      </c>
      <c r="I986">
        <v>1570</v>
      </c>
      <c r="J986" t="s">
        <v>21</v>
      </c>
      <c r="K986">
        <v>6</v>
      </c>
      <c r="L986" t="s">
        <v>59</v>
      </c>
      <c r="M986">
        <v>1350</v>
      </c>
    </row>
    <row r="987" spans="1:13">
      <c r="A987">
        <v>981</v>
      </c>
      <c r="B987">
        <v>93302</v>
      </c>
      <c r="C987" t="s">
        <v>2384</v>
      </c>
      <c r="D987" t="s">
        <v>2385</v>
      </c>
      <c r="E987" t="s">
        <v>2386</v>
      </c>
      <c r="F987" t="str">
        <f>"00297735"</f>
        <v>00297735</v>
      </c>
      <c r="G987" t="s">
        <v>1100</v>
      </c>
      <c r="H987" t="s">
        <v>234</v>
      </c>
      <c r="I987">
        <v>1344</v>
      </c>
      <c r="J987" t="s">
        <v>21</v>
      </c>
      <c r="K987">
        <v>6</v>
      </c>
      <c r="L987" t="s">
        <v>35</v>
      </c>
      <c r="M987">
        <v>708</v>
      </c>
    </row>
    <row r="988" spans="1:13">
      <c r="A988">
        <v>982</v>
      </c>
      <c r="B988">
        <v>76754</v>
      </c>
      <c r="C988" t="s">
        <v>2387</v>
      </c>
      <c r="D988" t="s">
        <v>130</v>
      </c>
      <c r="E988" t="s">
        <v>2388</v>
      </c>
      <c r="F988" t="str">
        <f>"201410003241"</f>
        <v>201410003241</v>
      </c>
      <c r="G988" t="s">
        <v>255</v>
      </c>
      <c r="H988" t="s">
        <v>20</v>
      </c>
      <c r="I988">
        <v>1513</v>
      </c>
      <c r="J988" t="s">
        <v>21</v>
      </c>
      <c r="K988">
        <v>6</v>
      </c>
      <c r="M988">
        <v>1378</v>
      </c>
    </row>
    <row r="989" spans="1:13">
      <c r="A989">
        <v>983</v>
      </c>
      <c r="B989">
        <v>77308</v>
      </c>
      <c r="C989" t="s">
        <v>2389</v>
      </c>
      <c r="D989" t="s">
        <v>94</v>
      </c>
      <c r="E989" t="s">
        <v>2390</v>
      </c>
      <c r="F989" t="str">
        <f>"00403955"</f>
        <v>00403955</v>
      </c>
      <c r="G989" t="s">
        <v>418</v>
      </c>
      <c r="H989" t="s">
        <v>234</v>
      </c>
      <c r="I989">
        <v>1335</v>
      </c>
      <c r="J989" t="s">
        <v>21</v>
      </c>
      <c r="K989">
        <v>6</v>
      </c>
      <c r="M989">
        <v>1648</v>
      </c>
    </row>
    <row r="990" spans="1:13">
      <c r="A990">
        <v>984</v>
      </c>
      <c r="B990">
        <v>113666</v>
      </c>
      <c r="C990" t="s">
        <v>2391</v>
      </c>
      <c r="D990" t="s">
        <v>105</v>
      </c>
      <c r="E990" t="s">
        <v>2392</v>
      </c>
      <c r="F990" t="str">
        <f>"00422990"</f>
        <v>00422990</v>
      </c>
      <c r="G990" t="s">
        <v>1705</v>
      </c>
      <c r="H990" t="s">
        <v>234</v>
      </c>
      <c r="I990">
        <v>1329</v>
      </c>
      <c r="J990" t="s">
        <v>21</v>
      </c>
      <c r="K990">
        <v>0</v>
      </c>
      <c r="M990">
        <v>1688</v>
      </c>
    </row>
    <row r="991" spans="1:13">
      <c r="A991">
        <v>985</v>
      </c>
      <c r="B991">
        <v>63573</v>
      </c>
      <c r="C991" t="s">
        <v>2393</v>
      </c>
      <c r="D991" t="s">
        <v>80</v>
      </c>
      <c r="E991" t="s">
        <v>2394</v>
      </c>
      <c r="F991" t="str">
        <f>"00350928"</f>
        <v>00350928</v>
      </c>
      <c r="G991" t="s">
        <v>47</v>
      </c>
      <c r="H991" t="s">
        <v>48</v>
      </c>
      <c r="I991">
        <v>1623</v>
      </c>
      <c r="J991" t="s">
        <v>21</v>
      </c>
      <c r="K991">
        <v>0</v>
      </c>
      <c r="M991">
        <v>1438</v>
      </c>
    </row>
    <row r="992" spans="1:13">
      <c r="A992">
        <v>986</v>
      </c>
      <c r="B992">
        <v>78895</v>
      </c>
      <c r="C992" t="s">
        <v>2395</v>
      </c>
      <c r="D992" t="s">
        <v>153</v>
      </c>
      <c r="E992" t="s">
        <v>2396</v>
      </c>
      <c r="F992" t="str">
        <f>"00374355"</f>
        <v>00374355</v>
      </c>
      <c r="G992" t="s">
        <v>200</v>
      </c>
      <c r="H992" t="s">
        <v>20</v>
      </c>
      <c r="I992">
        <v>1492</v>
      </c>
      <c r="J992" t="s">
        <v>21</v>
      </c>
      <c r="K992">
        <v>0</v>
      </c>
      <c r="L992" t="s">
        <v>35</v>
      </c>
      <c r="M992">
        <v>908</v>
      </c>
    </row>
    <row r="993" spans="1:13">
      <c r="A993">
        <v>987</v>
      </c>
      <c r="B993">
        <v>77033</v>
      </c>
      <c r="C993" t="s">
        <v>2397</v>
      </c>
      <c r="D993" t="s">
        <v>121</v>
      </c>
      <c r="E993" t="s">
        <v>2398</v>
      </c>
      <c r="F993" t="str">
        <f>"00382166"</f>
        <v>00382166</v>
      </c>
      <c r="G993" t="s">
        <v>178</v>
      </c>
      <c r="H993" t="s">
        <v>20</v>
      </c>
      <c r="I993">
        <v>1519</v>
      </c>
      <c r="J993" t="s">
        <v>21</v>
      </c>
      <c r="K993">
        <v>0</v>
      </c>
      <c r="L993" t="s">
        <v>35</v>
      </c>
      <c r="M993">
        <v>1100</v>
      </c>
    </row>
    <row r="994" spans="1:13">
      <c r="A994">
        <v>988</v>
      </c>
      <c r="B994">
        <v>59745</v>
      </c>
      <c r="C994" t="s">
        <v>2399</v>
      </c>
      <c r="D994" t="s">
        <v>76</v>
      </c>
      <c r="E994" t="s">
        <v>2400</v>
      </c>
      <c r="F994" t="str">
        <f>"201406004809"</f>
        <v>201406004809</v>
      </c>
      <c r="G994" t="s">
        <v>1753</v>
      </c>
      <c r="H994" t="s">
        <v>20</v>
      </c>
      <c r="I994">
        <v>1544</v>
      </c>
      <c r="J994" t="s">
        <v>21</v>
      </c>
      <c r="K994">
        <v>0</v>
      </c>
      <c r="L994" t="s">
        <v>35</v>
      </c>
      <c r="M994">
        <v>950</v>
      </c>
    </row>
    <row r="995" spans="1:13">
      <c r="A995">
        <v>989</v>
      </c>
      <c r="B995">
        <v>104714</v>
      </c>
      <c r="C995" t="s">
        <v>2401</v>
      </c>
      <c r="D995" t="s">
        <v>102</v>
      </c>
      <c r="E995" t="s">
        <v>2402</v>
      </c>
      <c r="F995" t="str">
        <f>"00374503"</f>
        <v>00374503</v>
      </c>
      <c r="G995" t="s">
        <v>883</v>
      </c>
      <c r="H995" t="s">
        <v>270</v>
      </c>
      <c r="I995">
        <v>1585</v>
      </c>
      <c r="J995" t="s">
        <v>21</v>
      </c>
      <c r="K995">
        <v>0</v>
      </c>
      <c r="L995" t="s">
        <v>35</v>
      </c>
      <c r="M995">
        <v>950</v>
      </c>
    </row>
    <row r="996" spans="1:13">
      <c r="A996">
        <v>990</v>
      </c>
      <c r="B996">
        <v>66300</v>
      </c>
      <c r="C996" t="s">
        <v>2403</v>
      </c>
      <c r="D996" t="s">
        <v>76</v>
      </c>
      <c r="E996" t="s">
        <v>2404</v>
      </c>
      <c r="F996" t="str">
        <f>"00090396"</f>
        <v>00090396</v>
      </c>
      <c r="G996" t="s">
        <v>1682</v>
      </c>
      <c r="H996" t="s">
        <v>241</v>
      </c>
      <c r="I996">
        <v>1363</v>
      </c>
      <c r="J996" t="s">
        <v>21</v>
      </c>
      <c r="K996">
        <v>0</v>
      </c>
      <c r="L996" t="s">
        <v>35</v>
      </c>
      <c r="M996">
        <v>1004</v>
      </c>
    </row>
    <row r="997" spans="1:13">
      <c r="A997">
        <v>991</v>
      </c>
      <c r="B997">
        <v>79677</v>
      </c>
      <c r="C997" t="s">
        <v>2405</v>
      </c>
      <c r="D997" t="s">
        <v>180</v>
      </c>
      <c r="E997" t="s">
        <v>2406</v>
      </c>
      <c r="F997" t="str">
        <f>"00405315"</f>
        <v>00405315</v>
      </c>
      <c r="G997" t="s">
        <v>184</v>
      </c>
      <c r="H997" t="s">
        <v>2407</v>
      </c>
      <c r="I997">
        <v>1617</v>
      </c>
      <c r="J997" t="s">
        <v>21</v>
      </c>
      <c r="K997">
        <v>0</v>
      </c>
      <c r="L997" t="s">
        <v>35</v>
      </c>
      <c r="M997">
        <v>971</v>
      </c>
    </row>
    <row r="998" spans="1:13">
      <c r="A998">
        <v>992</v>
      </c>
      <c r="B998">
        <v>78790</v>
      </c>
      <c r="C998" t="s">
        <v>2408</v>
      </c>
      <c r="D998" t="s">
        <v>563</v>
      </c>
      <c r="E998" t="s">
        <v>2409</v>
      </c>
      <c r="F998" t="str">
        <f>"00201165"</f>
        <v>00201165</v>
      </c>
      <c r="G998" t="s">
        <v>358</v>
      </c>
      <c r="H998" t="s">
        <v>20</v>
      </c>
      <c r="I998">
        <v>1549</v>
      </c>
      <c r="J998" t="s">
        <v>21</v>
      </c>
      <c r="K998">
        <v>0</v>
      </c>
      <c r="M998">
        <v>1438</v>
      </c>
    </row>
    <row r="999" spans="1:13">
      <c r="A999">
        <v>993</v>
      </c>
      <c r="B999">
        <v>70862</v>
      </c>
      <c r="C999" t="s">
        <v>2410</v>
      </c>
      <c r="D999" t="s">
        <v>130</v>
      </c>
      <c r="E999" t="s">
        <v>2411</v>
      </c>
      <c r="F999" t="str">
        <f>"00250058"</f>
        <v>00250058</v>
      </c>
      <c r="G999" t="s">
        <v>892</v>
      </c>
      <c r="H999" t="s">
        <v>20</v>
      </c>
      <c r="I999">
        <v>1410</v>
      </c>
      <c r="J999" t="s">
        <v>21</v>
      </c>
      <c r="K999">
        <v>0</v>
      </c>
      <c r="M999">
        <v>1488</v>
      </c>
    </row>
    <row r="1000" spans="1:13">
      <c r="A1000">
        <v>994</v>
      </c>
      <c r="B1000">
        <v>55431</v>
      </c>
      <c r="C1000" t="s">
        <v>2412</v>
      </c>
      <c r="D1000" t="s">
        <v>180</v>
      </c>
      <c r="E1000" t="s">
        <v>2413</v>
      </c>
      <c r="F1000" t="str">
        <f>"201410001878"</f>
        <v>201410001878</v>
      </c>
      <c r="G1000" t="s">
        <v>395</v>
      </c>
      <c r="H1000" t="s">
        <v>234</v>
      </c>
      <c r="I1000">
        <v>1336</v>
      </c>
      <c r="J1000" t="s">
        <v>21</v>
      </c>
      <c r="K1000">
        <v>0</v>
      </c>
      <c r="L1000" t="s">
        <v>35</v>
      </c>
      <c r="M1000">
        <v>972</v>
      </c>
    </row>
    <row r="1001" spans="1:13">
      <c r="A1001">
        <v>995</v>
      </c>
      <c r="B1001">
        <v>111282</v>
      </c>
      <c r="C1001" t="s">
        <v>2414</v>
      </c>
      <c r="D1001" t="s">
        <v>80</v>
      </c>
      <c r="E1001" t="s">
        <v>2415</v>
      </c>
      <c r="F1001" t="str">
        <f>"00063097"</f>
        <v>00063097</v>
      </c>
      <c r="G1001" t="s">
        <v>178</v>
      </c>
      <c r="H1001" t="s">
        <v>20</v>
      </c>
      <c r="I1001">
        <v>1519</v>
      </c>
      <c r="J1001" t="s">
        <v>21</v>
      </c>
      <c r="K1001">
        <v>0</v>
      </c>
      <c r="L1001" t="s">
        <v>59</v>
      </c>
      <c r="M1001">
        <v>1228</v>
      </c>
    </row>
    <row r="1002" spans="1:13">
      <c r="A1002">
        <v>996</v>
      </c>
      <c r="B1002">
        <v>114920</v>
      </c>
      <c r="C1002" t="s">
        <v>2416</v>
      </c>
      <c r="D1002" t="s">
        <v>243</v>
      </c>
      <c r="E1002" t="s">
        <v>2417</v>
      </c>
      <c r="F1002" t="str">
        <f>"00422621"</f>
        <v>00422621</v>
      </c>
      <c r="G1002" t="s">
        <v>709</v>
      </c>
      <c r="H1002" t="s">
        <v>20</v>
      </c>
      <c r="I1002">
        <v>1413</v>
      </c>
      <c r="J1002" t="s">
        <v>21</v>
      </c>
      <c r="K1002">
        <v>0</v>
      </c>
      <c r="L1002" t="s">
        <v>35</v>
      </c>
      <c r="M1002">
        <v>883</v>
      </c>
    </row>
    <row r="1003" spans="1:13">
      <c r="A1003">
        <v>997</v>
      </c>
      <c r="B1003">
        <v>60255</v>
      </c>
      <c r="C1003" t="s">
        <v>2418</v>
      </c>
      <c r="D1003" t="s">
        <v>180</v>
      </c>
      <c r="E1003" t="s">
        <v>2419</v>
      </c>
      <c r="F1003" t="str">
        <f>"00264637"</f>
        <v>00264637</v>
      </c>
      <c r="G1003" t="s">
        <v>1345</v>
      </c>
      <c r="H1003" t="s">
        <v>137</v>
      </c>
      <c r="I1003">
        <v>1606</v>
      </c>
      <c r="J1003" t="s">
        <v>21</v>
      </c>
      <c r="K1003">
        <v>0</v>
      </c>
      <c r="L1003" t="s">
        <v>88</v>
      </c>
      <c r="M1003">
        <v>650</v>
      </c>
    </row>
    <row r="1004" spans="1:13">
      <c r="A1004">
        <v>998</v>
      </c>
      <c r="B1004">
        <v>60699</v>
      </c>
      <c r="C1004" t="s">
        <v>2420</v>
      </c>
      <c r="D1004" t="s">
        <v>218</v>
      </c>
      <c r="E1004" t="s">
        <v>2421</v>
      </c>
      <c r="F1004" t="str">
        <f>"00363721"</f>
        <v>00363721</v>
      </c>
      <c r="G1004" t="s">
        <v>38</v>
      </c>
      <c r="H1004" t="s">
        <v>39</v>
      </c>
      <c r="I1004">
        <v>1634</v>
      </c>
      <c r="J1004" t="s">
        <v>21</v>
      </c>
      <c r="K1004">
        <v>6</v>
      </c>
      <c r="L1004" t="s">
        <v>35</v>
      </c>
      <c r="M1004">
        <v>608</v>
      </c>
    </row>
    <row r="1005" spans="1:13">
      <c r="A1005">
        <v>999</v>
      </c>
      <c r="B1005">
        <v>51679</v>
      </c>
      <c r="C1005" t="s">
        <v>2422</v>
      </c>
      <c r="D1005" t="s">
        <v>80</v>
      </c>
      <c r="E1005" t="s">
        <v>2423</v>
      </c>
      <c r="F1005" t="str">
        <f>"00240354"</f>
        <v>00240354</v>
      </c>
      <c r="G1005" t="s">
        <v>488</v>
      </c>
      <c r="H1005" t="s">
        <v>20</v>
      </c>
      <c r="I1005">
        <v>1482</v>
      </c>
      <c r="J1005" t="s">
        <v>21</v>
      </c>
      <c r="K1005">
        <v>0</v>
      </c>
      <c r="M1005">
        <v>1376</v>
      </c>
    </row>
    <row r="1006" spans="1:13">
      <c r="A1006">
        <v>1000</v>
      </c>
      <c r="B1006">
        <v>78319</v>
      </c>
      <c r="C1006" t="s">
        <v>2424</v>
      </c>
      <c r="D1006" t="s">
        <v>105</v>
      </c>
      <c r="E1006" t="s">
        <v>2425</v>
      </c>
      <c r="F1006" t="str">
        <f>"00309702"</f>
        <v>00309702</v>
      </c>
      <c r="G1006" t="s">
        <v>488</v>
      </c>
      <c r="H1006" t="s">
        <v>20</v>
      </c>
      <c r="I1006">
        <v>1482</v>
      </c>
      <c r="J1006" t="s">
        <v>21</v>
      </c>
      <c r="K1006">
        <v>0</v>
      </c>
      <c r="L1006" t="s">
        <v>35</v>
      </c>
      <c r="M1006">
        <v>975</v>
      </c>
    </row>
    <row r="1007" spans="1:13">
      <c r="A1007">
        <v>1001</v>
      </c>
      <c r="B1007">
        <v>111966</v>
      </c>
      <c r="C1007" t="s">
        <v>2426</v>
      </c>
      <c r="D1007" t="s">
        <v>180</v>
      </c>
      <c r="E1007" t="s">
        <v>2427</v>
      </c>
      <c r="F1007" t="str">
        <f>"201002000222"</f>
        <v>201002000222</v>
      </c>
      <c r="G1007" t="s">
        <v>107</v>
      </c>
      <c r="H1007" t="s">
        <v>20</v>
      </c>
      <c r="I1007">
        <v>1472</v>
      </c>
      <c r="J1007" t="s">
        <v>21</v>
      </c>
      <c r="K1007">
        <v>0</v>
      </c>
      <c r="L1007" t="s">
        <v>35</v>
      </c>
      <c r="M1007">
        <v>936</v>
      </c>
    </row>
    <row r="1008" spans="1:13">
      <c r="A1008">
        <v>1002</v>
      </c>
      <c r="B1008">
        <v>52311</v>
      </c>
      <c r="C1008" t="s">
        <v>2428</v>
      </c>
      <c r="D1008" t="s">
        <v>80</v>
      </c>
      <c r="E1008" t="s">
        <v>2429</v>
      </c>
      <c r="F1008" t="str">
        <f>"00237314"</f>
        <v>00237314</v>
      </c>
      <c r="G1008" t="s">
        <v>488</v>
      </c>
      <c r="H1008" t="s">
        <v>20</v>
      </c>
      <c r="I1008">
        <v>1482</v>
      </c>
      <c r="J1008" t="s">
        <v>21</v>
      </c>
      <c r="K1008">
        <v>0</v>
      </c>
      <c r="L1008" t="s">
        <v>35</v>
      </c>
      <c r="M1008">
        <v>1124</v>
      </c>
    </row>
    <row r="1009" spans="1:13">
      <c r="A1009">
        <v>1003</v>
      </c>
      <c r="B1009">
        <v>100576</v>
      </c>
      <c r="C1009" t="s">
        <v>2430</v>
      </c>
      <c r="D1009" t="s">
        <v>1489</v>
      </c>
      <c r="E1009" t="s">
        <v>2431</v>
      </c>
      <c r="F1009" t="str">
        <f>"00403970"</f>
        <v>00403970</v>
      </c>
      <c r="G1009" t="s">
        <v>107</v>
      </c>
      <c r="H1009" t="s">
        <v>20</v>
      </c>
      <c r="I1009">
        <v>1472</v>
      </c>
      <c r="J1009" t="s">
        <v>21</v>
      </c>
      <c r="K1009">
        <v>0</v>
      </c>
      <c r="M1009">
        <v>1578</v>
      </c>
    </row>
    <row r="1010" spans="1:13">
      <c r="A1010">
        <v>1004</v>
      </c>
      <c r="B1010">
        <v>80432</v>
      </c>
      <c r="C1010" t="s">
        <v>2432</v>
      </c>
      <c r="D1010" t="s">
        <v>80</v>
      </c>
      <c r="E1010" t="s">
        <v>2433</v>
      </c>
      <c r="F1010" t="str">
        <f>"00402472"</f>
        <v>00402472</v>
      </c>
      <c r="G1010" t="s">
        <v>230</v>
      </c>
      <c r="H1010" t="s">
        <v>20</v>
      </c>
      <c r="I1010">
        <v>1545</v>
      </c>
      <c r="J1010" t="s">
        <v>21</v>
      </c>
      <c r="K1010">
        <v>0</v>
      </c>
      <c r="M1010">
        <v>1468</v>
      </c>
    </row>
    <row r="1011" spans="1:13">
      <c r="A1011">
        <v>1005</v>
      </c>
      <c r="B1011">
        <v>112413</v>
      </c>
      <c r="C1011" t="s">
        <v>2434</v>
      </c>
      <c r="D1011" t="s">
        <v>105</v>
      </c>
      <c r="E1011" t="s">
        <v>2435</v>
      </c>
      <c r="F1011" t="str">
        <f>"00386098"</f>
        <v>00386098</v>
      </c>
      <c r="G1011" t="s">
        <v>798</v>
      </c>
      <c r="H1011" t="s">
        <v>326</v>
      </c>
      <c r="I1011">
        <v>1593</v>
      </c>
      <c r="J1011" t="s">
        <v>21</v>
      </c>
      <c r="K1011">
        <v>0</v>
      </c>
      <c r="M1011">
        <v>1488</v>
      </c>
    </row>
    <row r="1012" spans="1:13">
      <c r="A1012">
        <v>1006</v>
      </c>
      <c r="B1012">
        <v>80499</v>
      </c>
      <c r="C1012" t="s">
        <v>2436</v>
      </c>
      <c r="D1012" t="s">
        <v>76</v>
      </c>
      <c r="E1012" t="s">
        <v>2437</v>
      </c>
      <c r="F1012" t="str">
        <f>"00030435"</f>
        <v>00030435</v>
      </c>
      <c r="G1012" t="s">
        <v>465</v>
      </c>
      <c r="H1012" t="s">
        <v>20</v>
      </c>
      <c r="I1012">
        <v>1534</v>
      </c>
      <c r="J1012" t="s">
        <v>21</v>
      </c>
      <c r="K1012">
        <v>0</v>
      </c>
      <c r="M1012">
        <v>1328</v>
      </c>
    </row>
    <row r="1013" spans="1:13">
      <c r="A1013">
        <v>1007</v>
      </c>
      <c r="B1013">
        <v>70841</v>
      </c>
      <c r="C1013" t="s">
        <v>2438</v>
      </c>
      <c r="D1013" t="s">
        <v>105</v>
      </c>
      <c r="E1013" t="s">
        <v>2439</v>
      </c>
      <c r="F1013" t="str">
        <f>"00376853"</f>
        <v>00376853</v>
      </c>
      <c r="G1013" t="s">
        <v>2440</v>
      </c>
      <c r="H1013" t="s">
        <v>20</v>
      </c>
      <c r="I1013">
        <v>1567</v>
      </c>
      <c r="J1013" t="s">
        <v>21</v>
      </c>
      <c r="K1013">
        <v>0</v>
      </c>
      <c r="L1013" t="s">
        <v>35</v>
      </c>
      <c r="M1013">
        <v>1033</v>
      </c>
    </row>
    <row r="1014" spans="1:13">
      <c r="A1014">
        <v>1008</v>
      </c>
      <c r="B1014">
        <v>85728</v>
      </c>
      <c r="C1014" t="s">
        <v>2441</v>
      </c>
      <c r="D1014" t="s">
        <v>180</v>
      </c>
      <c r="E1014" t="s">
        <v>2442</v>
      </c>
      <c r="F1014" t="str">
        <f>"00384110"</f>
        <v>00384110</v>
      </c>
      <c r="G1014" t="s">
        <v>2443</v>
      </c>
      <c r="H1014" t="s">
        <v>20</v>
      </c>
      <c r="I1014">
        <v>1543</v>
      </c>
      <c r="J1014" t="s">
        <v>21</v>
      </c>
      <c r="K1014">
        <v>6</v>
      </c>
      <c r="M1014">
        <v>1528</v>
      </c>
    </row>
    <row r="1015" spans="1:13">
      <c r="A1015">
        <v>1009</v>
      </c>
      <c r="B1015">
        <v>65125</v>
      </c>
      <c r="C1015" t="s">
        <v>2441</v>
      </c>
      <c r="D1015" t="s">
        <v>145</v>
      </c>
      <c r="E1015" t="s">
        <v>2444</v>
      </c>
      <c r="F1015" t="str">
        <f>"00293490"</f>
        <v>00293490</v>
      </c>
      <c r="G1015" t="s">
        <v>763</v>
      </c>
      <c r="H1015" t="s">
        <v>274</v>
      </c>
      <c r="I1015">
        <v>1381</v>
      </c>
      <c r="J1015" t="s">
        <v>21</v>
      </c>
      <c r="K1015">
        <v>0</v>
      </c>
      <c r="M1015">
        <v>1728</v>
      </c>
    </row>
    <row r="1016" spans="1:13">
      <c r="A1016">
        <v>1010</v>
      </c>
      <c r="B1016">
        <v>103765</v>
      </c>
      <c r="C1016" t="s">
        <v>2445</v>
      </c>
      <c r="D1016" t="s">
        <v>2446</v>
      </c>
      <c r="E1016" t="s">
        <v>2447</v>
      </c>
      <c r="F1016" t="str">
        <f>"00380130"</f>
        <v>00380130</v>
      </c>
      <c r="G1016" t="s">
        <v>2448</v>
      </c>
      <c r="H1016" t="s">
        <v>20</v>
      </c>
      <c r="I1016">
        <v>1428</v>
      </c>
      <c r="J1016" t="s">
        <v>21</v>
      </c>
      <c r="K1016">
        <v>0</v>
      </c>
      <c r="L1016" t="s">
        <v>35</v>
      </c>
      <c r="M1016">
        <v>1043</v>
      </c>
    </row>
    <row r="1017" spans="1:13">
      <c r="A1017">
        <v>1011</v>
      </c>
      <c r="B1017">
        <v>55886</v>
      </c>
      <c r="C1017" t="s">
        <v>2449</v>
      </c>
      <c r="D1017" t="s">
        <v>566</v>
      </c>
      <c r="E1017" t="s">
        <v>2450</v>
      </c>
      <c r="F1017" t="str">
        <f>"201402006494"</f>
        <v>201402006494</v>
      </c>
      <c r="G1017" t="s">
        <v>856</v>
      </c>
      <c r="H1017" t="s">
        <v>857</v>
      </c>
      <c r="I1017">
        <v>1661</v>
      </c>
      <c r="J1017" t="s">
        <v>21</v>
      </c>
      <c r="K1017">
        <v>0</v>
      </c>
      <c r="M1017">
        <v>1428</v>
      </c>
    </row>
    <row r="1018" spans="1:13">
      <c r="A1018">
        <v>1012</v>
      </c>
      <c r="B1018">
        <v>111351</v>
      </c>
      <c r="C1018" t="s">
        <v>2451</v>
      </c>
      <c r="D1018" t="s">
        <v>80</v>
      </c>
      <c r="E1018" t="s">
        <v>2452</v>
      </c>
      <c r="F1018" t="str">
        <f>"00407579"</f>
        <v>00407579</v>
      </c>
      <c r="G1018" t="s">
        <v>2443</v>
      </c>
      <c r="H1018" t="s">
        <v>20</v>
      </c>
      <c r="I1018">
        <v>1543</v>
      </c>
      <c r="J1018" t="s">
        <v>21</v>
      </c>
      <c r="K1018">
        <v>6</v>
      </c>
      <c r="L1018" t="s">
        <v>35</v>
      </c>
      <c r="M1018">
        <v>1108</v>
      </c>
    </row>
    <row r="1019" spans="1:13">
      <c r="A1019">
        <v>1013</v>
      </c>
      <c r="B1019">
        <v>57344</v>
      </c>
      <c r="C1019" t="s">
        <v>2453</v>
      </c>
      <c r="D1019" t="s">
        <v>2454</v>
      </c>
      <c r="E1019" t="s">
        <v>2455</v>
      </c>
      <c r="F1019" t="str">
        <f>"00365884"</f>
        <v>00365884</v>
      </c>
      <c r="G1019" t="s">
        <v>1995</v>
      </c>
      <c r="H1019" t="s">
        <v>20</v>
      </c>
      <c r="I1019">
        <v>1508</v>
      </c>
      <c r="J1019" t="s">
        <v>21</v>
      </c>
      <c r="K1019">
        <v>0</v>
      </c>
      <c r="L1019" t="s">
        <v>35</v>
      </c>
      <c r="M1019">
        <v>1183</v>
      </c>
    </row>
    <row r="1020" spans="1:13">
      <c r="A1020">
        <v>1014</v>
      </c>
      <c r="B1020">
        <v>49457</v>
      </c>
      <c r="C1020" t="s">
        <v>2456</v>
      </c>
      <c r="D1020" t="s">
        <v>130</v>
      </c>
      <c r="E1020" t="s">
        <v>2457</v>
      </c>
      <c r="F1020" t="str">
        <f>"00312819"</f>
        <v>00312819</v>
      </c>
      <c r="G1020" t="s">
        <v>2458</v>
      </c>
      <c r="H1020" t="s">
        <v>270</v>
      </c>
      <c r="I1020">
        <v>1584</v>
      </c>
      <c r="J1020" t="s">
        <v>21</v>
      </c>
      <c r="K1020">
        <v>0</v>
      </c>
      <c r="M1020">
        <v>1688</v>
      </c>
    </row>
    <row r="1021" spans="1:13">
      <c r="A1021">
        <v>1015</v>
      </c>
      <c r="B1021">
        <v>61087</v>
      </c>
      <c r="C1021" t="s">
        <v>2459</v>
      </c>
      <c r="D1021" t="s">
        <v>80</v>
      </c>
      <c r="E1021" t="s">
        <v>2460</v>
      </c>
      <c r="F1021" t="str">
        <f>"00380359"</f>
        <v>00380359</v>
      </c>
      <c r="G1021" t="s">
        <v>107</v>
      </c>
      <c r="H1021" t="s">
        <v>20</v>
      </c>
      <c r="I1021">
        <v>1472</v>
      </c>
      <c r="J1021" t="s">
        <v>21</v>
      </c>
      <c r="K1021">
        <v>0</v>
      </c>
      <c r="L1021" t="s">
        <v>35</v>
      </c>
      <c r="M1021">
        <v>908</v>
      </c>
    </row>
    <row r="1022" spans="1:13">
      <c r="A1022">
        <v>1016</v>
      </c>
      <c r="B1022">
        <v>55941</v>
      </c>
      <c r="C1022" t="s">
        <v>2461</v>
      </c>
      <c r="D1022" t="s">
        <v>121</v>
      </c>
      <c r="E1022" t="s">
        <v>2462</v>
      </c>
      <c r="F1022" t="str">
        <f>"00347509"</f>
        <v>00347509</v>
      </c>
      <c r="G1022" t="s">
        <v>178</v>
      </c>
      <c r="H1022" t="s">
        <v>20</v>
      </c>
      <c r="I1022">
        <v>1519</v>
      </c>
      <c r="J1022" t="s">
        <v>21</v>
      </c>
      <c r="K1022">
        <v>0</v>
      </c>
      <c r="M1022">
        <v>1410</v>
      </c>
    </row>
    <row r="1023" spans="1:13">
      <c r="A1023">
        <v>1017</v>
      </c>
      <c r="B1023">
        <v>100311</v>
      </c>
      <c r="C1023" t="s">
        <v>2463</v>
      </c>
      <c r="D1023" t="s">
        <v>145</v>
      </c>
      <c r="E1023" t="s">
        <v>2464</v>
      </c>
      <c r="F1023" t="str">
        <f>"00354860"</f>
        <v>00354860</v>
      </c>
      <c r="G1023" t="s">
        <v>2465</v>
      </c>
      <c r="H1023" t="s">
        <v>20</v>
      </c>
      <c r="I1023">
        <v>1458</v>
      </c>
      <c r="J1023" t="s">
        <v>21</v>
      </c>
      <c r="K1023">
        <v>0</v>
      </c>
      <c r="L1023" t="s">
        <v>35</v>
      </c>
      <c r="M1023">
        <v>1258</v>
      </c>
    </row>
    <row r="1024" spans="1:13">
      <c r="A1024">
        <v>1018</v>
      </c>
      <c r="B1024">
        <v>57508</v>
      </c>
      <c r="C1024" t="s">
        <v>2466</v>
      </c>
      <c r="D1024" t="s">
        <v>2467</v>
      </c>
      <c r="E1024" t="s">
        <v>2468</v>
      </c>
      <c r="F1024" t="str">
        <f>"00264537"</f>
        <v>00264537</v>
      </c>
      <c r="G1024" t="s">
        <v>2465</v>
      </c>
      <c r="H1024" t="s">
        <v>2469</v>
      </c>
      <c r="I1024">
        <v>1647</v>
      </c>
      <c r="J1024" t="s">
        <v>21</v>
      </c>
      <c r="K1024">
        <v>0</v>
      </c>
      <c r="M1024">
        <v>1488</v>
      </c>
    </row>
    <row r="1025" spans="1:13">
      <c r="A1025">
        <v>1019</v>
      </c>
      <c r="B1025">
        <v>108463</v>
      </c>
      <c r="C1025" t="s">
        <v>2470</v>
      </c>
      <c r="D1025" t="s">
        <v>121</v>
      </c>
      <c r="E1025" t="s">
        <v>2471</v>
      </c>
      <c r="F1025" t="str">
        <f>"00422195"</f>
        <v>00422195</v>
      </c>
      <c r="G1025" t="s">
        <v>294</v>
      </c>
      <c r="H1025" t="s">
        <v>20</v>
      </c>
      <c r="I1025">
        <v>1421</v>
      </c>
      <c r="J1025" t="s">
        <v>21</v>
      </c>
      <c r="K1025">
        <v>0</v>
      </c>
      <c r="M1025">
        <v>1528</v>
      </c>
    </row>
    <row r="1026" spans="1:13">
      <c r="A1026">
        <v>1020</v>
      </c>
      <c r="B1026">
        <v>63890</v>
      </c>
      <c r="C1026" t="s">
        <v>2472</v>
      </c>
      <c r="D1026" t="s">
        <v>121</v>
      </c>
      <c r="E1026" t="s">
        <v>2473</v>
      </c>
      <c r="F1026" t="str">
        <f>"00270288"</f>
        <v>00270288</v>
      </c>
      <c r="G1026" t="s">
        <v>696</v>
      </c>
      <c r="H1026" t="s">
        <v>20</v>
      </c>
      <c r="I1026">
        <v>1520</v>
      </c>
      <c r="J1026" t="s">
        <v>21</v>
      </c>
      <c r="K1026">
        <v>0</v>
      </c>
      <c r="L1026" t="s">
        <v>35</v>
      </c>
      <c r="M1026">
        <v>1006</v>
      </c>
    </row>
    <row r="1027" spans="1:13">
      <c r="A1027">
        <v>1021</v>
      </c>
      <c r="B1027">
        <v>52962</v>
      </c>
      <c r="C1027" t="s">
        <v>2474</v>
      </c>
      <c r="D1027" t="s">
        <v>121</v>
      </c>
      <c r="E1027" t="s">
        <v>2475</v>
      </c>
      <c r="F1027" t="str">
        <f>"00270769"</f>
        <v>00270769</v>
      </c>
      <c r="G1027" t="s">
        <v>994</v>
      </c>
      <c r="H1027" t="s">
        <v>20</v>
      </c>
      <c r="I1027">
        <v>1522</v>
      </c>
      <c r="J1027" t="s">
        <v>21</v>
      </c>
      <c r="K1027">
        <v>0</v>
      </c>
      <c r="L1027" t="s">
        <v>83</v>
      </c>
      <c r="M1027">
        <v>1228</v>
      </c>
    </row>
    <row r="1028" spans="1:13">
      <c r="A1028">
        <v>1022</v>
      </c>
      <c r="B1028">
        <v>53212</v>
      </c>
      <c r="C1028" t="s">
        <v>2476</v>
      </c>
      <c r="D1028" t="s">
        <v>121</v>
      </c>
      <c r="E1028" t="s">
        <v>2477</v>
      </c>
      <c r="F1028" t="str">
        <f>"00351986"</f>
        <v>00351986</v>
      </c>
      <c r="G1028" t="s">
        <v>70</v>
      </c>
      <c r="H1028" t="s">
        <v>71</v>
      </c>
      <c r="I1028">
        <v>1702</v>
      </c>
      <c r="J1028" t="s">
        <v>21</v>
      </c>
      <c r="K1028">
        <v>0</v>
      </c>
      <c r="L1028" t="s">
        <v>35</v>
      </c>
      <c r="M1028">
        <v>875</v>
      </c>
    </row>
    <row r="1029" spans="1:13">
      <c r="A1029">
        <v>1023</v>
      </c>
      <c r="B1029">
        <v>51957</v>
      </c>
      <c r="C1029" t="s">
        <v>2478</v>
      </c>
      <c r="D1029" t="s">
        <v>76</v>
      </c>
      <c r="E1029" t="s">
        <v>2479</v>
      </c>
      <c r="F1029" t="str">
        <f>"201505000372"</f>
        <v>201505000372</v>
      </c>
      <c r="G1029" t="s">
        <v>29</v>
      </c>
      <c r="H1029" t="s">
        <v>20</v>
      </c>
      <c r="I1029">
        <v>1446</v>
      </c>
      <c r="J1029" t="s">
        <v>21</v>
      </c>
      <c r="K1029">
        <v>0</v>
      </c>
      <c r="M1029">
        <v>1428</v>
      </c>
    </row>
    <row r="1030" spans="1:13">
      <c r="A1030">
        <v>1024</v>
      </c>
      <c r="B1030">
        <v>81215</v>
      </c>
      <c r="C1030" t="s">
        <v>2480</v>
      </c>
      <c r="D1030" t="s">
        <v>243</v>
      </c>
      <c r="E1030" t="s">
        <v>2481</v>
      </c>
      <c r="F1030" t="str">
        <f>"00373057"</f>
        <v>00373057</v>
      </c>
      <c r="G1030" t="s">
        <v>1165</v>
      </c>
      <c r="H1030" t="s">
        <v>20</v>
      </c>
      <c r="I1030">
        <v>1422</v>
      </c>
      <c r="J1030" t="s">
        <v>21</v>
      </c>
      <c r="K1030">
        <v>0</v>
      </c>
      <c r="L1030" t="s">
        <v>35</v>
      </c>
      <c r="M1030">
        <v>1175</v>
      </c>
    </row>
    <row r="1031" spans="1:13">
      <c r="A1031">
        <v>1025</v>
      </c>
      <c r="B1031">
        <v>81202</v>
      </c>
      <c r="C1031" t="s">
        <v>2482</v>
      </c>
      <c r="D1031" t="s">
        <v>218</v>
      </c>
      <c r="E1031" t="s">
        <v>2483</v>
      </c>
      <c r="F1031" t="str">
        <f>"00262442"</f>
        <v>00262442</v>
      </c>
      <c r="G1031" t="s">
        <v>107</v>
      </c>
      <c r="H1031" t="s">
        <v>20</v>
      </c>
      <c r="I1031">
        <v>1472</v>
      </c>
      <c r="J1031" t="s">
        <v>21</v>
      </c>
      <c r="K1031">
        <v>0</v>
      </c>
      <c r="M1031">
        <v>1398</v>
      </c>
    </row>
    <row r="1032" spans="1:13">
      <c r="A1032">
        <v>1026</v>
      </c>
      <c r="B1032">
        <v>86863</v>
      </c>
      <c r="C1032" t="s">
        <v>2484</v>
      </c>
      <c r="D1032" t="s">
        <v>105</v>
      </c>
      <c r="E1032" t="s">
        <v>2485</v>
      </c>
      <c r="F1032" t="str">
        <f>"00380225"</f>
        <v>00380225</v>
      </c>
      <c r="G1032" t="s">
        <v>1995</v>
      </c>
      <c r="H1032" t="s">
        <v>20</v>
      </c>
      <c r="I1032">
        <v>1508</v>
      </c>
      <c r="J1032" t="s">
        <v>21</v>
      </c>
      <c r="K1032">
        <v>0</v>
      </c>
      <c r="M1032">
        <v>1438</v>
      </c>
    </row>
    <row r="1033" spans="1:13">
      <c r="A1033">
        <v>1027</v>
      </c>
      <c r="B1033">
        <v>73236</v>
      </c>
      <c r="C1033" t="s">
        <v>2486</v>
      </c>
      <c r="D1033" t="s">
        <v>105</v>
      </c>
      <c r="E1033" t="s">
        <v>2487</v>
      </c>
      <c r="F1033" t="str">
        <f>"00275911"</f>
        <v>00275911</v>
      </c>
      <c r="G1033" t="s">
        <v>42</v>
      </c>
      <c r="H1033" t="s">
        <v>43</v>
      </c>
      <c r="I1033">
        <v>1712</v>
      </c>
      <c r="J1033" t="s">
        <v>21</v>
      </c>
      <c r="K1033">
        <v>0</v>
      </c>
      <c r="M1033">
        <v>1528</v>
      </c>
    </row>
    <row r="1034" spans="1:13">
      <c r="A1034">
        <v>1028</v>
      </c>
      <c r="B1034">
        <v>71417</v>
      </c>
      <c r="C1034" t="s">
        <v>2488</v>
      </c>
      <c r="D1034" t="s">
        <v>76</v>
      </c>
      <c r="E1034" t="s">
        <v>2489</v>
      </c>
      <c r="F1034" t="str">
        <f>"00278068"</f>
        <v>00278068</v>
      </c>
      <c r="G1034" t="s">
        <v>1830</v>
      </c>
      <c r="H1034" t="s">
        <v>20</v>
      </c>
      <c r="I1034">
        <v>1521</v>
      </c>
      <c r="J1034" t="s">
        <v>21</v>
      </c>
      <c r="K1034">
        <v>0</v>
      </c>
      <c r="M1034">
        <v>1497</v>
      </c>
    </row>
    <row r="1035" spans="1:13">
      <c r="A1035">
        <v>1029</v>
      </c>
      <c r="B1035">
        <v>113216</v>
      </c>
      <c r="C1035" t="s">
        <v>2490</v>
      </c>
      <c r="D1035" t="s">
        <v>218</v>
      </c>
      <c r="E1035" t="s">
        <v>2491</v>
      </c>
      <c r="F1035" t="str">
        <f>"00253767"</f>
        <v>00253767</v>
      </c>
      <c r="G1035" t="s">
        <v>245</v>
      </c>
      <c r="H1035" t="s">
        <v>20</v>
      </c>
      <c r="I1035">
        <v>1406</v>
      </c>
      <c r="J1035" t="s">
        <v>21</v>
      </c>
      <c r="K1035">
        <v>0</v>
      </c>
      <c r="L1035" t="s">
        <v>35</v>
      </c>
      <c r="M1035">
        <v>940</v>
      </c>
    </row>
    <row r="1036" spans="1:13">
      <c r="A1036">
        <v>1030</v>
      </c>
      <c r="B1036">
        <v>115488</v>
      </c>
      <c r="C1036" t="s">
        <v>2492</v>
      </c>
      <c r="D1036" t="s">
        <v>90</v>
      </c>
      <c r="E1036" t="s">
        <v>2493</v>
      </c>
      <c r="F1036" t="str">
        <f>"00398474"</f>
        <v>00398474</v>
      </c>
      <c r="G1036" t="s">
        <v>47</v>
      </c>
      <c r="H1036" t="s">
        <v>48</v>
      </c>
      <c r="I1036">
        <v>1623</v>
      </c>
      <c r="J1036" t="s">
        <v>21</v>
      </c>
      <c r="K1036">
        <v>0</v>
      </c>
      <c r="M1036">
        <v>1368</v>
      </c>
    </row>
    <row r="1037" spans="1:13">
      <c r="A1037">
        <v>1031</v>
      </c>
      <c r="B1037">
        <v>77165</v>
      </c>
      <c r="C1037" t="s">
        <v>2494</v>
      </c>
      <c r="D1037" t="s">
        <v>105</v>
      </c>
      <c r="E1037" t="s">
        <v>2495</v>
      </c>
      <c r="F1037" t="str">
        <f>"201511023407"</f>
        <v>201511023407</v>
      </c>
      <c r="G1037" t="s">
        <v>994</v>
      </c>
      <c r="H1037" t="s">
        <v>20</v>
      </c>
      <c r="I1037">
        <v>1522</v>
      </c>
      <c r="J1037" t="s">
        <v>21</v>
      </c>
      <c r="K1037">
        <v>0</v>
      </c>
      <c r="L1037" t="s">
        <v>35</v>
      </c>
      <c r="M1037">
        <v>1008</v>
      </c>
    </row>
    <row r="1038" spans="1:13">
      <c r="A1038">
        <v>1032</v>
      </c>
      <c r="B1038">
        <v>114761</v>
      </c>
      <c r="C1038" t="s">
        <v>2496</v>
      </c>
      <c r="D1038" t="s">
        <v>90</v>
      </c>
      <c r="E1038" t="s">
        <v>2497</v>
      </c>
      <c r="F1038" t="str">
        <f>"00422600"</f>
        <v>00422600</v>
      </c>
      <c r="G1038" t="s">
        <v>1682</v>
      </c>
      <c r="H1038" t="s">
        <v>241</v>
      </c>
      <c r="I1038">
        <v>1363</v>
      </c>
      <c r="J1038" t="s">
        <v>21</v>
      </c>
      <c r="K1038">
        <v>0</v>
      </c>
      <c r="M1038">
        <v>1674</v>
      </c>
    </row>
    <row r="1039" spans="1:13">
      <c r="A1039">
        <v>1033</v>
      </c>
      <c r="B1039">
        <v>64508</v>
      </c>
      <c r="C1039" t="s">
        <v>2498</v>
      </c>
      <c r="D1039" t="s">
        <v>76</v>
      </c>
      <c r="E1039" t="s">
        <v>2499</v>
      </c>
      <c r="F1039" t="str">
        <f>"00327574"</f>
        <v>00327574</v>
      </c>
      <c r="G1039" t="s">
        <v>760</v>
      </c>
      <c r="H1039" t="s">
        <v>20</v>
      </c>
      <c r="I1039">
        <v>1432</v>
      </c>
      <c r="J1039" t="s">
        <v>21</v>
      </c>
      <c r="K1039">
        <v>0</v>
      </c>
      <c r="M1039">
        <v>1488</v>
      </c>
    </row>
    <row r="1040" spans="1:13">
      <c r="A1040">
        <v>1034</v>
      </c>
      <c r="B1040">
        <v>104697</v>
      </c>
      <c r="C1040" t="s">
        <v>2500</v>
      </c>
      <c r="D1040" t="s">
        <v>76</v>
      </c>
      <c r="E1040" t="s">
        <v>2501</v>
      </c>
      <c r="F1040" t="str">
        <f>"00203573"</f>
        <v>00203573</v>
      </c>
      <c r="G1040" t="s">
        <v>2502</v>
      </c>
      <c r="H1040" t="s">
        <v>274</v>
      </c>
      <c r="I1040">
        <v>1399</v>
      </c>
      <c r="J1040" t="s">
        <v>21</v>
      </c>
      <c r="K1040">
        <v>6</v>
      </c>
      <c r="M1040">
        <v>1560</v>
      </c>
    </row>
    <row r="1041" spans="1:13">
      <c r="A1041">
        <v>1035</v>
      </c>
      <c r="B1041">
        <v>60967</v>
      </c>
      <c r="C1041" t="s">
        <v>2503</v>
      </c>
      <c r="D1041" t="s">
        <v>109</v>
      </c>
      <c r="E1041" t="s">
        <v>2504</v>
      </c>
      <c r="F1041" t="str">
        <f>"00252489"</f>
        <v>00252489</v>
      </c>
      <c r="G1041" t="s">
        <v>465</v>
      </c>
      <c r="H1041" t="s">
        <v>20</v>
      </c>
      <c r="I1041">
        <v>1534</v>
      </c>
      <c r="J1041" t="s">
        <v>21</v>
      </c>
      <c r="K1041">
        <v>0</v>
      </c>
      <c r="L1041" t="s">
        <v>35</v>
      </c>
      <c r="M1041">
        <v>841</v>
      </c>
    </row>
    <row r="1042" spans="1:13">
      <c r="A1042">
        <v>1036</v>
      </c>
      <c r="B1042">
        <v>82142</v>
      </c>
      <c r="C1042" t="s">
        <v>2505</v>
      </c>
      <c r="D1042" t="s">
        <v>76</v>
      </c>
      <c r="E1042" t="s">
        <v>2506</v>
      </c>
      <c r="F1042" t="str">
        <f>"00332270"</f>
        <v>00332270</v>
      </c>
      <c r="G1042" t="s">
        <v>639</v>
      </c>
      <c r="H1042" t="s">
        <v>48</v>
      </c>
      <c r="I1042">
        <v>1629</v>
      </c>
      <c r="J1042" t="s">
        <v>21</v>
      </c>
      <c r="K1042">
        <v>0</v>
      </c>
      <c r="M1042">
        <v>1468</v>
      </c>
    </row>
    <row r="1043" spans="1:13">
      <c r="A1043">
        <v>1037</v>
      </c>
      <c r="B1043">
        <v>113630</v>
      </c>
      <c r="C1043" t="s">
        <v>2507</v>
      </c>
      <c r="D1043" t="s">
        <v>121</v>
      </c>
      <c r="E1043" t="s">
        <v>2508</v>
      </c>
      <c r="F1043" t="str">
        <f>"00019260"</f>
        <v>00019260</v>
      </c>
      <c r="G1043" t="s">
        <v>19</v>
      </c>
      <c r="H1043" t="s">
        <v>20</v>
      </c>
      <c r="I1043">
        <v>1531</v>
      </c>
      <c r="J1043" t="s">
        <v>21</v>
      </c>
      <c r="K1043">
        <v>0</v>
      </c>
      <c r="L1043" t="s">
        <v>35</v>
      </c>
      <c r="M1043">
        <v>908</v>
      </c>
    </row>
    <row r="1044" spans="1:13">
      <c r="A1044">
        <v>1038</v>
      </c>
      <c r="B1044">
        <v>73293</v>
      </c>
      <c r="C1044" t="s">
        <v>2509</v>
      </c>
      <c r="D1044" t="s">
        <v>105</v>
      </c>
      <c r="E1044" t="s">
        <v>2510</v>
      </c>
      <c r="F1044" t="str">
        <f>"00403400"</f>
        <v>00403400</v>
      </c>
      <c r="G1044" t="s">
        <v>488</v>
      </c>
      <c r="H1044" t="s">
        <v>20</v>
      </c>
      <c r="I1044">
        <v>1482</v>
      </c>
      <c r="J1044" t="s">
        <v>21</v>
      </c>
      <c r="K1044">
        <v>0</v>
      </c>
      <c r="L1044" t="s">
        <v>35</v>
      </c>
      <c r="M1044">
        <v>885</v>
      </c>
    </row>
    <row r="1045" spans="1:13">
      <c r="A1045">
        <v>1039</v>
      </c>
      <c r="B1045">
        <v>73639</v>
      </c>
      <c r="C1045" t="s">
        <v>2511</v>
      </c>
      <c r="D1045" t="s">
        <v>102</v>
      </c>
      <c r="E1045" t="s">
        <v>2512</v>
      </c>
      <c r="F1045" t="str">
        <f>"00379718"</f>
        <v>00379718</v>
      </c>
      <c r="G1045" t="s">
        <v>42</v>
      </c>
      <c r="H1045" t="s">
        <v>43</v>
      </c>
      <c r="I1045">
        <v>1712</v>
      </c>
      <c r="J1045" t="s">
        <v>21</v>
      </c>
      <c r="K1045">
        <v>0</v>
      </c>
      <c r="M1045">
        <v>1693</v>
      </c>
    </row>
    <row r="1046" spans="1:13">
      <c r="A1046">
        <v>1040</v>
      </c>
      <c r="B1046">
        <v>78604</v>
      </c>
      <c r="C1046" t="s">
        <v>2513</v>
      </c>
      <c r="D1046" t="s">
        <v>102</v>
      </c>
      <c r="E1046" t="s">
        <v>2514</v>
      </c>
      <c r="F1046" t="str">
        <f>"00368673"</f>
        <v>00368673</v>
      </c>
      <c r="G1046" t="s">
        <v>233</v>
      </c>
      <c r="H1046" t="s">
        <v>2515</v>
      </c>
      <c r="I1046">
        <v>1349</v>
      </c>
      <c r="J1046" t="s">
        <v>21</v>
      </c>
      <c r="K1046">
        <v>6</v>
      </c>
      <c r="L1046" t="s">
        <v>35</v>
      </c>
      <c r="M1046">
        <v>900</v>
      </c>
    </row>
    <row r="1047" spans="1:13">
      <c r="A1047">
        <v>1041</v>
      </c>
      <c r="B1047">
        <v>51243</v>
      </c>
      <c r="C1047" t="s">
        <v>2516</v>
      </c>
      <c r="D1047" t="s">
        <v>105</v>
      </c>
      <c r="E1047" t="s">
        <v>2517</v>
      </c>
      <c r="F1047" t="str">
        <f>"00351875"</f>
        <v>00351875</v>
      </c>
      <c r="G1047" t="s">
        <v>2518</v>
      </c>
      <c r="H1047" t="s">
        <v>366</v>
      </c>
      <c r="I1047">
        <v>1705</v>
      </c>
      <c r="J1047" t="s">
        <v>21</v>
      </c>
      <c r="K1047">
        <v>0</v>
      </c>
      <c r="L1047" t="s">
        <v>35</v>
      </c>
      <c r="M1047">
        <v>1008</v>
      </c>
    </row>
    <row r="1048" spans="1:13">
      <c r="A1048">
        <v>1042</v>
      </c>
      <c r="B1048">
        <v>85718</v>
      </c>
      <c r="C1048" t="s">
        <v>2519</v>
      </c>
      <c r="D1048" t="s">
        <v>145</v>
      </c>
      <c r="E1048" t="s">
        <v>2520</v>
      </c>
      <c r="F1048" t="str">
        <f>"00377263"</f>
        <v>00377263</v>
      </c>
      <c r="G1048" t="s">
        <v>42</v>
      </c>
      <c r="H1048" t="s">
        <v>43</v>
      </c>
      <c r="I1048">
        <v>1712</v>
      </c>
      <c r="J1048" t="s">
        <v>21</v>
      </c>
      <c r="K1048">
        <v>0</v>
      </c>
      <c r="L1048" t="s">
        <v>35</v>
      </c>
      <c r="M1048">
        <v>1008</v>
      </c>
    </row>
    <row r="1049" spans="1:13">
      <c r="A1049">
        <v>1043</v>
      </c>
      <c r="B1049">
        <v>56091</v>
      </c>
      <c r="C1049" t="s">
        <v>2521</v>
      </c>
      <c r="D1049" t="s">
        <v>145</v>
      </c>
      <c r="E1049" t="s">
        <v>2522</v>
      </c>
      <c r="F1049" t="str">
        <f>"00103366"</f>
        <v>00103366</v>
      </c>
      <c r="G1049" t="s">
        <v>38</v>
      </c>
      <c r="H1049" t="s">
        <v>39</v>
      </c>
      <c r="I1049">
        <v>1634</v>
      </c>
      <c r="J1049" t="s">
        <v>21</v>
      </c>
      <c r="K1049">
        <v>6</v>
      </c>
      <c r="L1049" t="s">
        <v>35</v>
      </c>
      <c r="M1049">
        <v>650</v>
      </c>
    </row>
    <row r="1050" spans="1:13">
      <c r="A1050">
        <v>1044</v>
      </c>
      <c r="B1050">
        <v>62637</v>
      </c>
      <c r="C1050" t="s">
        <v>2523</v>
      </c>
      <c r="D1050" t="s">
        <v>102</v>
      </c>
      <c r="E1050" t="s">
        <v>2524</v>
      </c>
      <c r="F1050" t="str">
        <f>"00357789"</f>
        <v>00357789</v>
      </c>
      <c r="G1050" t="s">
        <v>125</v>
      </c>
      <c r="H1050" t="s">
        <v>20</v>
      </c>
      <c r="I1050">
        <v>1507</v>
      </c>
      <c r="J1050" t="s">
        <v>21</v>
      </c>
      <c r="K1050">
        <v>0</v>
      </c>
      <c r="L1050" t="s">
        <v>112</v>
      </c>
      <c r="M1050">
        <v>900</v>
      </c>
    </row>
    <row r="1051" spans="1:13">
      <c r="A1051">
        <v>1045</v>
      </c>
      <c r="B1051">
        <v>110673</v>
      </c>
      <c r="C1051" t="s">
        <v>2525</v>
      </c>
      <c r="D1051" t="s">
        <v>105</v>
      </c>
      <c r="E1051" t="s">
        <v>2526</v>
      </c>
      <c r="F1051" t="str">
        <f>"00085701"</f>
        <v>00085701</v>
      </c>
      <c r="G1051" t="s">
        <v>125</v>
      </c>
      <c r="H1051" t="s">
        <v>20</v>
      </c>
      <c r="I1051">
        <v>1507</v>
      </c>
      <c r="J1051" t="s">
        <v>21</v>
      </c>
      <c r="K1051">
        <v>0</v>
      </c>
      <c r="M1051">
        <v>1388</v>
      </c>
    </row>
    <row r="1052" spans="1:13">
      <c r="A1052">
        <v>1046</v>
      </c>
      <c r="B1052">
        <v>49922</v>
      </c>
      <c r="C1052" t="s">
        <v>2527</v>
      </c>
      <c r="D1052" t="s">
        <v>102</v>
      </c>
      <c r="E1052" t="s">
        <v>2528</v>
      </c>
      <c r="F1052" t="str">
        <f>"00282141"</f>
        <v>00282141</v>
      </c>
      <c r="G1052" t="s">
        <v>258</v>
      </c>
      <c r="H1052" t="s">
        <v>20</v>
      </c>
      <c r="I1052">
        <v>1484</v>
      </c>
      <c r="J1052" t="s">
        <v>21</v>
      </c>
      <c r="K1052">
        <v>0</v>
      </c>
      <c r="L1052" t="s">
        <v>35</v>
      </c>
      <c r="M1052">
        <v>985</v>
      </c>
    </row>
    <row r="1053" spans="1:13">
      <c r="A1053">
        <v>1047</v>
      </c>
      <c r="B1053">
        <v>83273</v>
      </c>
      <c r="C1053" t="s">
        <v>2529</v>
      </c>
      <c r="D1053" t="s">
        <v>180</v>
      </c>
      <c r="E1053" t="s">
        <v>2530</v>
      </c>
      <c r="F1053" t="str">
        <f>"00404299"</f>
        <v>00404299</v>
      </c>
      <c r="G1053" t="s">
        <v>713</v>
      </c>
      <c r="H1053" t="s">
        <v>366</v>
      </c>
      <c r="I1053">
        <v>1690</v>
      </c>
      <c r="J1053" t="s">
        <v>21</v>
      </c>
      <c r="K1053">
        <v>0</v>
      </c>
      <c r="M1053">
        <v>1493</v>
      </c>
    </row>
    <row r="1054" spans="1:13">
      <c r="A1054">
        <v>1048</v>
      </c>
      <c r="B1054">
        <v>53518</v>
      </c>
      <c r="C1054" t="s">
        <v>2531</v>
      </c>
      <c r="D1054" t="s">
        <v>180</v>
      </c>
      <c r="E1054" t="s">
        <v>2532</v>
      </c>
      <c r="F1054" t="str">
        <f>"00255595"</f>
        <v>00255595</v>
      </c>
      <c r="G1054" t="s">
        <v>691</v>
      </c>
      <c r="H1054" t="s">
        <v>241</v>
      </c>
      <c r="I1054">
        <v>1360</v>
      </c>
      <c r="J1054" t="s">
        <v>21</v>
      </c>
      <c r="K1054">
        <v>0</v>
      </c>
      <c r="M1054">
        <v>1528</v>
      </c>
    </row>
    <row r="1055" spans="1:13">
      <c r="A1055">
        <v>1049</v>
      </c>
      <c r="B1055">
        <v>96546</v>
      </c>
      <c r="C1055" t="s">
        <v>2533</v>
      </c>
      <c r="D1055" t="s">
        <v>566</v>
      </c>
      <c r="E1055" t="s">
        <v>2534</v>
      </c>
      <c r="F1055" t="str">
        <f>"00377453"</f>
        <v>00377453</v>
      </c>
      <c r="G1055" t="s">
        <v>107</v>
      </c>
      <c r="H1055" t="s">
        <v>20</v>
      </c>
      <c r="I1055">
        <v>1472</v>
      </c>
      <c r="J1055" t="s">
        <v>21</v>
      </c>
      <c r="K1055">
        <v>0</v>
      </c>
      <c r="L1055" t="s">
        <v>35</v>
      </c>
      <c r="M1055">
        <v>908</v>
      </c>
    </row>
    <row r="1056" spans="1:13">
      <c r="A1056">
        <v>1050</v>
      </c>
      <c r="B1056">
        <v>102902</v>
      </c>
      <c r="C1056" t="s">
        <v>2535</v>
      </c>
      <c r="D1056" t="s">
        <v>180</v>
      </c>
      <c r="E1056" t="s">
        <v>2536</v>
      </c>
      <c r="F1056" t="str">
        <f>"00393711"</f>
        <v>00393711</v>
      </c>
      <c r="G1056" t="s">
        <v>733</v>
      </c>
      <c r="H1056" t="s">
        <v>734</v>
      </c>
      <c r="I1056">
        <v>1596</v>
      </c>
      <c r="J1056" t="s">
        <v>21</v>
      </c>
      <c r="K1056">
        <v>0</v>
      </c>
      <c r="M1056">
        <v>1428</v>
      </c>
    </row>
    <row r="1057" spans="1:13">
      <c r="A1057">
        <v>1051</v>
      </c>
      <c r="B1057">
        <v>114806</v>
      </c>
      <c r="C1057" t="s">
        <v>2537</v>
      </c>
      <c r="D1057" t="s">
        <v>145</v>
      </c>
      <c r="E1057" t="s">
        <v>2538</v>
      </c>
      <c r="F1057" t="str">
        <f>"00419109"</f>
        <v>00419109</v>
      </c>
      <c r="G1057" t="s">
        <v>47</v>
      </c>
      <c r="H1057" t="s">
        <v>48</v>
      </c>
      <c r="I1057">
        <v>1623</v>
      </c>
      <c r="J1057" t="s">
        <v>21</v>
      </c>
      <c r="K1057">
        <v>0</v>
      </c>
      <c r="M1057">
        <v>1438</v>
      </c>
    </row>
    <row r="1058" spans="1:13">
      <c r="A1058">
        <v>1052</v>
      </c>
      <c r="B1058">
        <v>55597</v>
      </c>
      <c r="C1058" t="s">
        <v>2539</v>
      </c>
      <c r="D1058" t="s">
        <v>218</v>
      </c>
      <c r="E1058" t="s">
        <v>2540</v>
      </c>
      <c r="F1058" t="str">
        <f>"00023309"</f>
        <v>00023309</v>
      </c>
      <c r="G1058" t="s">
        <v>107</v>
      </c>
      <c r="H1058" t="s">
        <v>20</v>
      </c>
      <c r="I1058">
        <v>1472</v>
      </c>
      <c r="J1058" t="s">
        <v>21</v>
      </c>
      <c r="K1058">
        <v>0</v>
      </c>
      <c r="M1058">
        <v>1588</v>
      </c>
    </row>
    <row r="1059" spans="1:13">
      <c r="A1059">
        <v>1053</v>
      </c>
      <c r="B1059">
        <v>81607</v>
      </c>
      <c r="C1059" t="s">
        <v>2541</v>
      </c>
      <c r="D1059" t="s">
        <v>153</v>
      </c>
      <c r="E1059" t="s">
        <v>2542</v>
      </c>
      <c r="F1059" t="str">
        <f>"00387038"</f>
        <v>00387038</v>
      </c>
      <c r="G1059" t="s">
        <v>2543</v>
      </c>
      <c r="H1059" t="s">
        <v>535</v>
      </c>
      <c r="I1059">
        <v>1352</v>
      </c>
      <c r="J1059" t="s">
        <v>21</v>
      </c>
      <c r="K1059">
        <v>6</v>
      </c>
      <c r="M1059">
        <v>1628</v>
      </c>
    </row>
    <row r="1060" spans="1:13">
      <c r="A1060">
        <v>1054</v>
      </c>
      <c r="B1060">
        <v>61886</v>
      </c>
      <c r="C1060" t="s">
        <v>2544</v>
      </c>
      <c r="D1060" t="s">
        <v>90</v>
      </c>
      <c r="E1060" t="s">
        <v>2545</v>
      </c>
      <c r="F1060" t="str">
        <f>"00083665"</f>
        <v>00083665</v>
      </c>
      <c r="G1060" t="s">
        <v>721</v>
      </c>
      <c r="H1060" t="s">
        <v>20</v>
      </c>
      <c r="I1060">
        <v>1575</v>
      </c>
      <c r="J1060" t="s">
        <v>21</v>
      </c>
      <c r="K1060">
        <v>0</v>
      </c>
      <c r="L1060" t="s">
        <v>35</v>
      </c>
      <c r="M1060">
        <v>875</v>
      </c>
    </row>
    <row r="1061" spans="1:13">
      <c r="A1061">
        <v>1055</v>
      </c>
      <c r="B1061">
        <v>100475</v>
      </c>
      <c r="C1061" t="s">
        <v>2546</v>
      </c>
      <c r="D1061" t="s">
        <v>2547</v>
      </c>
      <c r="E1061" t="s">
        <v>2548</v>
      </c>
      <c r="F1061" t="str">
        <f>"00261119"</f>
        <v>00261119</v>
      </c>
      <c r="G1061" t="s">
        <v>155</v>
      </c>
      <c r="H1061" t="s">
        <v>156</v>
      </c>
      <c r="I1061">
        <v>1342</v>
      </c>
      <c r="J1061" t="s">
        <v>21</v>
      </c>
      <c r="K1061">
        <v>0</v>
      </c>
      <c r="L1061" t="s">
        <v>88</v>
      </c>
      <c r="M1061">
        <v>774</v>
      </c>
    </row>
    <row r="1062" spans="1:13">
      <c r="A1062">
        <v>1056</v>
      </c>
      <c r="B1062">
        <v>85475</v>
      </c>
      <c r="C1062" t="s">
        <v>2546</v>
      </c>
      <c r="D1062" t="s">
        <v>163</v>
      </c>
      <c r="E1062" t="s">
        <v>2549</v>
      </c>
      <c r="F1062" t="str">
        <f>"00387853"</f>
        <v>00387853</v>
      </c>
      <c r="G1062" t="s">
        <v>70</v>
      </c>
      <c r="H1062" t="s">
        <v>71</v>
      </c>
      <c r="I1062">
        <v>1702</v>
      </c>
      <c r="J1062" t="s">
        <v>21</v>
      </c>
      <c r="K1062">
        <v>0</v>
      </c>
      <c r="L1062" t="s">
        <v>35</v>
      </c>
      <c r="M1062">
        <v>1100</v>
      </c>
    </row>
    <row r="1063" spans="1:13">
      <c r="A1063">
        <v>1057</v>
      </c>
      <c r="B1063">
        <v>91440</v>
      </c>
      <c r="C1063" t="s">
        <v>2550</v>
      </c>
      <c r="D1063" t="s">
        <v>243</v>
      </c>
      <c r="E1063" t="s">
        <v>2551</v>
      </c>
      <c r="F1063" t="str">
        <f>"00021033"</f>
        <v>00021033</v>
      </c>
      <c r="G1063" t="s">
        <v>47</v>
      </c>
      <c r="H1063" t="s">
        <v>48</v>
      </c>
      <c r="I1063">
        <v>1623</v>
      </c>
      <c r="J1063" t="s">
        <v>21</v>
      </c>
      <c r="K1063">
        <v>0</v>
      </c>
      <c r="M1063">
        <v>1388</v>
      </c>
    </row>
    <row r="1064" spans="1:13">
      <c r="A1064">
        <v>1058</v>
      </c>
      <c r="B1064">
        <v>82772</v>
      </c>
      <c r="C1064" t="s">
        <v>2550</v>
      </c>
      <c r="D1064" t="s">
        <v>145</v>
      </c>
      <c r="E1064" t="s">
        <v>2552</v>
      </c>
      <c r="F1064" t="str">
        <f>"00229166"</f>
        <v>00229166</v>
      </c>
      <c r="G1064" t="s">
        <v>147</v>
      </c>
      <c r="H1064" t="s">
        <v>20</v>
      </c>
      <c r="I1064">
        <v>1529</v>
      </c>
      <c r="J1064" t="s">
        <v>21</v>
      </c>
      <c r="K1064">
        <v>0</v>
      </c>
      <c r="L1064" t="s">
        <v>35</v>
      </c>
      <c r="M1064">
        <v>925</v>
      </c>
    </row>
    <row r="1065" spans="1:13">
      <c r="A1065">
        <v>1059</v>
      </c>
      <c r="B1065">
        <v>113671</v>
      </c>
      <c r="C1065" t="s">
        <v>2553</v>
      </c>
      <c r="D1065" t="s">
        <v>145</v>
      </c>
      <c r="E1065" t="s">
        <v>2554</v>
      </c>
      <c r="F1065" t="str">
        <f>"00371517"</f>
        <v>00371517</v>
      </c>
      <c r="G1065" t="s">
        <v>19</v>
      </c>
      <c r="H1065" t="s">
        <v>20</v>
      </c>
      <c r="I1065">
        <v>1531</v>
      </c>
      <c r="J1065" t="s">
        <v>21</v>
      </c>
      <c r="K1065">
        <v>0</v>
      </c>
      <c r="L1065" t="s">
        <v>35</v>
      </c>
      <c r="M1065">
        <v>875</v>
      </c>
    </row>
    <row r="1066" spans="1:13">
      <c r="A1066">
        <v>1060</v>
      </c>
      <c r="B1066">
        <v>47276</v>
      </c>
      <c r="C1066" t="s">
        <v>2555</v>
      </c>
      <c r="D1066" t="s">
        <v>905</v>
      </c>
      <c r="E1066" t="s">
        <v>2556</v>
      </c>
      <c r="F1066" t="str">
        <f>"00360667"</f>
        <v>00360667</v>
      </c>
      <c r="G1066" t="s">
        <v>42</v>
      </c>
      <c r="H1066" t="s">
        <v>43</v>
      </c>
      <c r="I1066">
        <v>1712</v>
      </c>
      <c r="J1066" t="s">
        <v>21</v>
      </c>
      <c r="K1066">
        <v>0</v>
      </c>
      <c r="L1066" t="s">
        <v>35</v>
      </c>
      <c r="M1066">
        <v>1200</v>
      </c>
    </row>
    <row r="1067" spans="1:13">
      <c r="A1067">
        <v>1061</v>
      </c>
      <c r="B1067">
        <v>108774</v>
      </c>
      <c r="C1067" t="s">
        <v>2557</v>
      </c>
      <c r="D1067" t="s">
        <v>145</v>
      </c>
      <c r="E1067" t="s">
        <v>2558</v>
      </c>
      <c r="F1067" t="str">
        <f>"00051011"</f>
        <v>00051011</v>
      </c>
      <c r="G1067" t="s">
        <v>683</v>
      </c>
      <c r="H1067" t="s">
        <v>535</v>
      </c>
      <c r="I1067">
        <v>1670</v>
      </c>
      <c r="J1067" t="s">
        <v>21</v>
      </c>
      <c r="K1067">
        <v>0</v>
      </c>
      <c r="M1067">
        <v>1328</v>
      </c>
    </row>
    <row r="1068" spans="1:13">
      <c r="A1068">
        <v>1062</v>
      </c>
      <c r="B1068">
        <v>79029</v>
      </c>
      <c r="C1068" t="s">
        <v>2559</v>
      </c>
      <c r="D1068" t="s">
        <v>76</v>
      </c>
      <c r="E1068" t="s">
        <v>2560</v>
      </c>
      <c r="F1068" t="str">
        <f>"00346173"</f>
        <v>00346173</v>
      </c>
      <c r="G1068" t="s">
        <v>683</v>
      </c>
      <c r="H1068" t="s">
        <v>535</v>
      </c>
      <c r="I1068">
        <v>1670</v>
      </c>
      <c r="J1068" t="s">
        <v>21</v>
      </c>
      <c r="K1068">
        <v>0</v>
      </c>
      <c r="L1068" t="s">
        <v>59</v>
      </c>
      <c r="M1068">
        <v>1028</v>
      </c>
    </row>
    <row r="1069" spans="1:13">
      <c r="A1069">
        <v>1063</v>
      </c>
      <c r="B1069">
        <v>59843</v>
      </c>
      <c r="C1069" t="s">
        <v>2561</v>
      </c>
      <c r="D1069" t="s">
        <v>2562</v>
      </c>
      <c r="E1069" t="s">
        <v>2563</v>
      </c>
      <c r="F1069" t="str">
        <f>"00357378"</f>
        <v>00357378</v>
      </c>
      <c r="G1069" t="s">
        <v>96</v>
      </c>
      <c r="H1069" t="s">
        <v>20</v>
      </c>
      <c r="I1069">
        <v>1474</v>
      </c>
      <c r="J1069" t="s">
        <v>21</v>
      </c>
      <c r="K1069">
        <v>0</v>
      </c>
      <c r="M1069">
        <v>1488</v>
      </c>
    </row>
    <row r="1070" spans="1:13">
      <c r="A1070">
        <v>1064</v>
      </c>
      <c r="B1070">
        <v>55776</v>
      </c>
      <c r="C1070" t="s">
        <v>2564</v>
      </c>
      <c r="D1070" t="s">
        <v>243</v>
      </c>
      <c r="E1070" t="s">
        <v>2565</v>
      </c>
      <c r="F1070" t="str">
        <f>"00247457"</f>
        <v>00247457</v>
      </c>
      <c r="G1070" t="s">
        <v>42</v>
      </c>
      <c r="H1070" t="s">
        <v>43</v>
      </c>
      <c r="I1070">
        <v>1712</v>
      </c>
      <c r="J1070" t="s">
        <v>21</v>
      </c>
      <c r="K1070">
        <v>0</v>
      </c>
      <c r="M1070">
        <v>1538</v>
      </c>
    </row>
    <row r="1071" spans="1:13">
      <c r="A1071">
        <v>1065</v>
      </c>
      <c r="B1071">
        <v>106751</v>
      </c>
      <c r="C1071" t="s">
        <v>2566</v>
      </c>
      <c r="D1071" t="s">
        <v>180</v>
      </c>
      <c r="E1071" t="s">
        <v>2567</v>
      </c>
      <c r="F1071" t="str">
        <f>"00401971"</f>
        <v>00401971</v>
      </c>
      <c r="G1071" t="s">
        <v>596</v>
      </c>
      <c r="H1071" t="s">
        <v>20</v>
      </c>
      <c r="I1071">
        <v>1562</v>
      </c>
      <c r="J1071" t="s">
        <v>21</v>
      </c>
      <c r="K1071">
        <v>6</v>
      </c>
      <c r="M1071">
        <v>1388</v>
      </c>
    </row>
    <row r="1072" spans="1:13">
      <c r="A1072">
        <v>1066</v>
      </c>
      <c r="B1072">
        <v>96730</v>
      </c>
      <c r="C1072" t="s">
        <v>2568</v>
      </c>
      <c r="D1072" t="s">
        <v>2569</v>
      </c>
      <c r="E1072" t="s">
        <v>2570</v>
      </c>
      <c r="F1072" t="str">
        <f>"00356188"</f>
        <v>00356188</v>
      </c>
      <c r="G1072" t="s">
        <v>596</v>
      </c>
      <c r="H1072" t="s">
        <v>20</v>
      </c>
      <c r="I1072">
        <v>1562</v>
      </c>
      <c r="J1072" t="s">
        <v>21</v>
      </c>
      <c r="K1072">
        <v>6</v>
      </c>
      <c r="L1072" t="s">
        <v>35</v>
      </c>
      <c r="M1072">
        <v>708</v>
      </c>
    </row>
    <row r="1073" spans="1:13">
      <c r="A1073">
        <v>1067</v>
      </c>
      <c r="B1073">
        <v>83572</v>
      </c>
      <c r="C1073" t="s">
        <v>2571</v>
      </c>
      <c r="D1073" t="s">
        <v>163</v>
      </c>
      <c r="E1073" t="s">
        <v>2572</v>
      </c>
      <c r="F1073" t="str">
        <f>"00274327"</f>
        <v>00274327</v>
      </c>
      <c r="G1073" t="s">
        <v>294</v>
      </c>
      <c r="H1073" t="s">
        <v>20</v>
      </c>
      <c r="I1073">
        <v>1421</v>
      </c>
      <c r="J1073" t="s">
        <v>21</v>
      </c>
      <c r="K1073">
        <v>0</v>
      </c>
      <c r="L1073" t="s">
        <v>59</v>
      </c>
      <c r="M1073">
        <v>1111</v>
      </c>
    </row>
    <row r="1074" spans="1:13">
      <c r="A1074">
        <v>1068</v>
      </c>
      <c r="B1074">
        <v>69523</v>
      </c>
      <c r="C1074" t="s">
        <v>2573</v>
      </c>
      <c r="D1074" t="s">
        <v>80</v>
      </c>
      <c r="E1074" t="s">
        <v>2574</v>
      </c>
      <c r="F1074" t="str">
        <f>"201511006421"</f>
        <v>201511006421</v>
      </c>
      <c r="G1074" t="s">
        <v>107</v>
      </c>
      <c r="H1074" t="s">
        <v>20</v>
      </c>
      <c r="I1074">
        <v>1472</v>
      </c>
      <c r="J1074" t="s">
        <v>21</v>
      </c>
      <c r="K1074">
        <v>0</v>
      </c>
      <c r="M1074">
        <v>1388</v>
      </c>
    </row>
    <row r="1075" spans="1:13">
      <c r="A1075">
        <v>1069</v>
      </c>
      <c r="B1075">
        <v>103228</v>
      </c>
      <c r="C1075" t="s">
        <v>2575</v>
      </c>
      <c r="D1075" t="s">
        <v>557</v>
      </c>
      <c r="E1075" t="s">
        <v>2576</v>
      </c>
      <c r="F1075" t="str">
        <f>"00374850"</f>
        <v>00374850</v>
      </c>
      <c r="G1075" t="s">
        <v>245</v>
      </c>
      <c r="H1075" t="s">
        <v>20</v>
      </c>
      <c r="I1075">
        <v>1406</v>
      </c>
      <c r="J1075" t="s">
        <v>21</v>
      </c>
      <c r="K1075">
        <v>0</v>
      </c>
      <c r="L1075" t="s">
        <v>35</v>
      </c>
      <c r="M1075">
        <v>911</v>
      </c>
    </row>
    <row r="1076" spans="1:13">
      <c r="A1076">
        <v>1070</v>
      </c>
      <c r="B1076">
        <v>105496</v>
      </c>
      <c r="C1076" t="s">
        <v>2577</v>
      </c>
      <c r="D1076" t="s">
        <v>105</v>
      </c>
      <c r="E1076" t="s">
        <v>2578</v>
      </c>
      <c r="F1076" t="str">
        <f>"201511041947"</f>
        <v>201511041947</v>
      </c>
      <c r="G1076" t="s">
        <v>892</v>
      </c>
      <c r="H1076" t="s">
        <v>20</v>
      </c>
      <c r="I1076">
        <v>1410</v>
      </c>
      <c r="J1076" t="s">
        <v>21</v>
      </c>
      <c r="K1076">
        <v>0</v>
      </c>
      <c r="M1076">
        <v>1388</v>
      </c>
    </row>
    <row r="1077" spans="1:13">
      <c r="A1077">
        <v>1071</v>
      </c>
      <c r="B1077">
        <v>68406</v>
      </c>
      <c r="C1077" t="s">
        <v>2579</v>
      </c>
      <c r="D1077" t="s">
        <v>566</v>
      </c>
      <c r="E1077" t="s">
        <v>2580</v>
      </c>
      <c r="F1077" t="str">
        <f>"00275073"</f>
        <v>00275073</v>
      </c>
      <c r="G1077" t="s">
        <v>107</v>
      </c>
      <c r="H1077" t="s">
        <v>20</v>
      </c>
      <c r="I1077">
        <v>1472</v>
      </c>
      <c r="J1077" t="s">
        <v>21</v>
      </c>
      <c r="K1077">
        <v>0</v>
      </c>
      <c r="L1077" t="s">
        <v>35</v>
      </c>
      <c r="M1077">
        <v>950</v>
      </c>
    </row>
    <row r="1078" spans="1:13">
      <c r="A1078">
        <v>1072</v>
      </c>
      <c r="B1078">
        <v>75225</v>
      </c>
      <c r="C1078" t="s">
        <v>2581</v>
      </c>
      <c r="D1078" t="s">
        <v>213</v>
      </c>
      <c r="E1078" t="s">
        <v>2582</v>
      </c>
      <c r="F1078" t="str">
        <f>"00397606"</f>
        <v>00397606</v>
      </c>
      <c r="G1078" t="s">
        <v>603</v>
      </c>
      <c r="H1078" t="s">
        <v>20</v>
      </c>
      <c r="I1078">
        <v>1464</v>
      </c>
      <c r="J1078" t="s">
        <v>21</v>
      </c>
      <c r="K1078">
        <v>0</v>
      </c>
      <c r="M1078">
        <v>1528</v>
      </c>
    </row>
    <row r="1079" spans="1:13">
      <c r="A1079">
        <v>1073</v>
      </c>
      <c r="B1079">
        <v>83842</v>
      </c>
      <c r="C1079" t="s">
        <v>2583</v>
      </c>
      <c r="D1079" t="s">
        <v>557</v>
      </c>
      <c r="E1079" t="s">
        <v>2584</v>
      </c>
      <c r="F1079" t="str">
        <f>"00375790"</f>
        <v>00375790</v>
      </c>
      <c r="G1079" t="s">
        <v>245</v>
      </c>
      <c r="H1079" t="s">
        <v>20</v>
      </c>
      <c r="I1079">
        <v>1406</v>
      </c>
      <c r="J1079" t="s">
        <v>21</v>
      </c>
      <c r="K1079">
        <v>0</v>
      </c>
      <c r="M1079">
        <v>1403</v>
      </c>
    </row>
    <row r="1080" spans="1:13">
      <c r="A1080">
        <v>1074</v>
      </c>
      <c r="B1080">
        <v>110992</v>
      </c>
      <c r="C1080" t="s">
        <v>2585</v>
      </c>
      <c r="D1080" t="s">
        <v>85</v>
      </c>
      <c r="E1080" t="s">
        <v>2586</v>
      </c>
      <c r="F1080" t="str">
        <f>"00291159"</f>
        <v>00291159</v>
      </c>
      <c r="G1080" t="s">
        <v>107</v>
      </c>
      <c r="H1080" t="s">
        <v>20</v>
      </c>
      <c r="I1080">
        <v>1472</v>
      </c>
      <c r="J1080" t="s">
        <v>21</v>
      </c>
      <c r="K1080">
        <v>0</v>
      </c>
      <c r="L1080" t="s">
        <v>35</v>
      </c>
      <c r="M1080">
        <v>1008</v>
      </c>
    </row>
    <row r="1081" spans="1:13">
      <c r="A1081">
        <v>1075</v>
      </c>
      <c r="B1081">
        <v>60458</v>
      </c>
      <c r="C1081" t="s">
        <v>2587</v>
      </c>
      <c r="D1081" t="s">
        <v>80</v>
      </c>
      <c r="E1081" t="s">
        <v>2588</v>
      </c>
      <c r="F1081" t="str">
        <f>"201511024981"</f>
        <v>201511024981</v>
      </c>
      <c r="G1081" t="s">
        <v>70</v>
      </c>
      <c r="H1081" t="s">
        <v>2589</v>
      </c>
      <c r="I1081">
        <v>1683</v>
      </c>
      <c r="J1081" t="s">
        <v>21</v>
      </c>
      <c r="K1081">
        <v>0</v>
      </c>
      <c r="L1081" t="s">
        <v>35</v>
      </c>
      <c r="M1081">
        <v>1525</v>
      </c>
    </row>
    <row r="1082" spans="1:13">
      <c r="A1082">
        <v>1076</v>
      </c>
      <c r="B1082">
        <v>103018</v>
      </c>
      <c r="C1082" t="s">
        <v>2590</v>
      </c>
      <c r="D1082" t="s">
        <v>2591</v>
      </c>
      <c r="E1082" t="s">
        <v>2592</v>
      </c>
      <c r="F1082" t="str">
        <f>"00172302"</f>
        <v>00172302</v>
      </c>
      <c r="G1082" t="s">
        <v>856</v>
      </c>
      <c r="H1082" t="s">
        <v>366</v>
      </c>
      <c r="I1082">
        <v>1706</v>
      </c>
      <c r="J1082" t="s">
        <v>21</v>
      </c>
      <c r="K1082">
        <v>0</v>
      </c>
      <c r="M1082">
        <v>1428</v>
      </c>
    </row>
    <row r="1083" spans="1:13">
      <c r="A1083">
        <v>1077</v>
      </c>
      <c r="B1083">
        <v>101011</v>
      </c>
      <c r="C1083" t="s">
        <v>2593</v>
      </c>
      <c r="D1083" t="s">
        <v>399</v>
      </c>
      <c r="E1083" t="s">
        <v>2594</v>
      </c>
      <c r="F1083" t="str">
        <f>"00380784"</f>
        <v>00380784</v>
      </c>
      <c r="G1083" t="s">
        <v>111</v>
      </c>
      <c r="H1083" t="s">
        <v>48</v>
      </c>
      <c r="I1083">
        <v>1620</v>
      </c>
      <c r="J1083" t="s">
        <v>21</v>
      </c>
      <c r="K1083">
        <v>0</v>
      </c>
      <c r="L1083" t="s">
        <v>401</v>
      </c>
      <c r="M1083">
        <v>1038</v>
      </c>
    </row>
    <row r="1084" spans="1:13">
      <c r="A1084">
        <v>1078</v>
      </c>
      <c r="B1084">
        <v>61021</v>
      </c>
      <c r="C1084" t="s">
        <v>2595</v>
      </c>
      <c r="D1084" t="s">
        <v>243</v>
      </c>
      <c r="E1084" t="s">
        <v>2596</v>
      </c>
      <c r="F1084" t="str">
        <f>"00366978"</f>
        <v>00366978</v>
      </c>
      <c r="G1084" t="s">
        <v>87</v>
      </c>
      <c r="H1084" t="s">
        <v>20</v>
      </c>
      <c r="I1084">
        <v>1436</v>
      </c>
      <c r="J1084" t="s">
        <v>21</v>
      </c>
      <c r="K1084">
        <v>0</v>
      </c>
      <c r="L1084" t="s">
        <v>59</v>
      </c>
      <c r="M1084">
        <v>822</v>
      </c>
    </row>
    <row r="1085" spans="1:13">
      <c r="A1085">
        <v>1079</v>
      </c>
      <c r="B1085">
        <v>85877</v>
      </c>
      <c r="C1085" t="s">
        <v>2597</v>
      </c>
      <c r="D1085" t="s">
        <v>76</v>
      </c>
      <c r="E1085" t="s">
        <v>2598</v>
      </c>
      <c r="F1085" t="str">
        <f>"00223466"</f>
        <v>00223466</v>
      </c>
      <c r="G1085" t="s">
        <v>834</v>
      </c>
      <c r="H1085" t="s">
        <v>20</v>
      </c>
      <c r="I1085">
        <v>1416</v>
      </c>
      <c r="J1085" t="s">
        <v>21</v>
      </c>
      <c r="K1085">
        <v>0</v>
      </c>
      <c r="L1085" t="s">
        <v>59</v>
      </c>
      <c r="M1085">
        <v>888</v>
      </c>
    </row>
    <row r="1086" spans="1:13">
      <c r="A1086">
        <v>1080</v>
      </c>
      <c r="B1086">
        <v>68280</v>
      </c>
      <c r="C1086" t="s">
        <v>2599</v>
      </c>
      <c r="D1086" t="s">
        <v>180</v>
      </c>
      <c r="E1086" t="s">
        <v>2600</v>
      </c>
      <c r="F1086" t="str">
        <f>"00252758"</f>
        <v>00252758</v>
      </c>
      <c r="G1086" t="s">
        <v>107</v>
      </c>
      <c r="H1086" t="s">
        <v>20</v>
      </c>
      <c r="I1086">
        <v>1472</v>
      </c>
      <c r="J1086" t="s">
        <v>21</v>
      </c>
      <c r="K1086">
        <v>0</v>
      </c>
      <c r="L1086" t="s">
        <v>35</v>
      </c>
      <c r="M1086">
        <v>908</v>
      </c>
    </row>
    <row r="1087" spans="1:13">
      <c r="A1087">
        <v>1081</v>
      </c>
      <c r="B1087">
        <v>67675</v>
      </c>
      <c r="C1087" t="s">
        <v>2601</v>
      </c>
      <c r="D1087" t="s">
        <v>180</v>
      </c>
      <c r="E1087" t="s">
        <v>2602</v>
      </c>
      <c r="F1087" t="str">
        <f>"00385392"</f>
        <v>00385392</v>
      </c>
      <c r="G1087" t="s">
        <v>1321</v>
      </c>
      <c r="H1087" t="s">
        <v>234</v>
      </c>
      <c r="I1087">
        <v>1330</v>
      </c>
      <c r="J1087" t="s">
        <v>21</v>
      </c>
      <c r="K1087">
        <v>0</v>
      </c>
      <c r="L1087" t="s">
        <v>83</v>
      </c>
      <c r="M1087">
        <v>1338</v>
      </c>
    </row>
    <row r="1088" spans="1:13">
      <c r="A1088">
        <v>1082</v>
      </c>
      <c r="B1088">
        <v>109588</v>
      </c>
      <c r="C1088" t="s">
        <v>2603</v>
      </c>
      <c r="D1088" t="s">
        <v>2604</v>
      </c>
      <c r="E1088" t="s">
        <v>2605</v>
      </c>
      <c r="F1088" t="str">
        <f>"00382992"</f>
        <v>00382992</v>
      </c>
      <c r="G1088" t="s">
        <v>610</v>
      </c>
      <c r="H1088" t="s">
        <v>20</v>
      </c>
      <c r="I1088">
        <v>1429</v>
      </c>
      <c r="J1088" t="s">
        <v>21</v>
      </c>
      <c r="K1088">
        <v>0</v>
      </c>
      <c r="M1088">
        <v>1428</v>
      </c>
    </row>
    <row r="1089" spans="1:13">
      <c r="A1089">
        <v>1083</v>
      </c>
      <c r="B1089">
        <v>61424</v>
      </c>
      <c r="C1089" t="s">
        <v>2606</v>
      </c>
      <c r="D1089" t="s">
        <v>145</v>
      </c>
      <c r="E1089" t="s">
        <v>2607</v>
      </c>
      <c r="F1089" t="str">
        <f>"201510003351"</f>
        <v>201510003351</v>
      </c>
      <c r="G1089" t="s">
        <v>949</v>
      </c>
      <c r="H1089" t="s">
        <v>20</v>
      </c>
      <c r="I1089">
        <v>1450</v>
      </c>
      <c r="J1089" t="s">
        <v>21</v>
      </c>
      <c r="K1089">
        <v>6</v>
      </c>
      <c r="M1089">
        <v>1518</v>
      </c>
    </row>
    <row r="1090" spans="1:13">
      <c r="A1090">
        <v>1084</v>
      </c>
      <c r="B1090">
        <v>107324</v>
      </c>
      <c r="C1090" t="s">
        <v>2608</v>
      </c>
      <c r="D1090" t="s">
        <v>109</v>
      </c>
      <c r="E1090" t="s">
        <v>2609</v>
      </c>
      <c r="F1090" t="str">
        <f>"00423486"</f>
        <v>00423486</v>
      </c>
      <c r="G1090" t="s">
        <v>211</v>
      </c>
      <c r="H1090" t="s">
        <v>48</v>
      </c>
      <c r="I1090">
        <v>1628</v>
      </c>
      <c r="J1090" t="s">
        <v>21</v>
      </c>
      <c r="K1090">
        <v>0</v>
      </c>
      <c r="L1090" t="s">
        <v>35</v>
      </c>
      <c r="M1090">
        <v>850</v>
      </c>
    </row>
    <row r="1091" spans="1:13">
      <c r="A1091">
        <v>1085</v>
      </c>
      <c r="B1091">
        <v>89030</v>
      </c>
      <c r="C1091" t="s">
        <v>2610</v>
      </c>
      <c r="D1091" t="s">
        <v>109</v>
      </c>
      <c r="E1091" t="s">
        <v>2611</v>
      </c>
      <c r="F1091" t="str">
        <f>"00422977"</f>
        <v>00422977</v>
      </c>
      <c r="G1091" t="s">
        <v>200</v>
      </c>
      <c r="H1091" t="s">
        <v>20</v>
      </c>
      <c r="I1091">
        <v>1492</v>
      </c>
      <c r="J1091" t="s">
        <v>21</v>
      </c>
      <c r="K1091">
        <v>0</v>
      </c>
      <c r="L1091" t="s">
        <v>35</v>
      </c>
      <c r="M1091">
        <v>1025</v>
      </c>
    </row>
    <row r="1092" spans="1:13">
      <c r="A1092">
        <v>1086</v>
      </c>
      <c r="B1092">
        <v>55321</v>
      </c>
      <c r="C1092" t="s">
        <v>2612</v>
      </c>
      <c r="D1092" t="s">
        <v>76</v>
      </c>
      <c r="E1092" t="s">
        <v>2613</v>
      </c>
      <c r="F1092" t="str">
        <f>"00193669"</f>
        <v>00193669</v>
      </c>
      <c r="G1092" t="s">
        <v>107</v>
      </c>
      <c r="H1092" t="s">
        <v>20</v>
      </c>
      <c r="I1092">
        <v>1472</v>
      </c>
      <c r="J1092" t="s">
        <v>21</v>
      </c>
      <c r="K1092">
        <v>0</v>
      </c>
      <c r="L1092" t="s">
        <v>59</v>
      </c>
      <c r="M1092">
        <v>1088</v>
      </c>
    </row>
    <row r="1093" spans="1:13">
      <c r="A1093">
        <v>1087</v>
      </c>
      <c r="B1093">
        <v>78382</v>
      </c>
      <c r="C1093" t="s">
        <v>2614</v>
      </c>
      <c r="D1093" t="s">
        <v>121</v>
      </c>
      <c r="E1093" t="s">
        <v>2615</v>
      </c>
      <c r="F1093" t="str">
        <f>"00384939"</f>
        <v>00384939</v>
      </c>
      <c r="G1093" t="s">
        <v>19</v>
      </c>
      <c r="H1093" t="s">
        <v>20</v>
      </c>
      <c r="I1093">
        <v>1531</v>
      </c>
      <c r="J1093" t="s">
        <v>21</v>
      </c>
      <c r="K1093">
        <v>0</v>
      </c>
      <c r="L1093" t="s">
        <v>35</v>
      </c>
      <c r="M1093">
        <v>908</v>
      </c>
    </row>
    <row r="1094" spans="1:13">
      <c r="A1094">
        <v>1088</v>
      </c>
      <c r="B1094">
        <v>54491</v>
      </c>
      <c r="C1094" t="s">
        <v>2616</v>
      </c>
      <c r="D1094" t="s">
        <v>76</v>
      </c>
      <c r="E1094" t="s">
        <v>2617</v>
      </c>
      <c r="F1094" t="str">
        <f>"200902000085"</f>
        <v>200902000085</v>
      </c>
      <c r="G1094" t="s">
        <v>107</v>
      </c>
      <c r="H1094" t="s">
        <v>20</v>
      </c>
      <c r="I1094">
        <v>1472</v>
      </c>
      <c r="J1094" t="s">
        <v>21</v>
      </c>
      <c r="K1094">
        <v>0</v>
      </c>
      <c r="M1094">
        <v>1438</v>
      </c>
    </row>
    <row r="1095" spans="1:13">
      <c r="A1095">
        <v>1089</v>
      </c>
      <c r="B1095">
        <v>86008</v>
      </c>
      <c r="C1095" t="s">
        <v>2618</v>
      </c>
      <c r="D1095" t="s">
        <v>105</v>
      </c>
      <c r="E1095" t="s">
        <v>2619</v>
      </c>
      <c r="F1095" t="str">
        <f>"00416792"</f>
        <v>00416792</v>
      </c>
      <c r="G1095" t="s">
        <v>540</v>
      </c>
      <c r="H1095" t="s">
        <v>20</v>
      </c>
      <c r="I1095">
        <v>1435</v>
      </c>
      <c r="J1095" t="s">
        <v>21</v>
      </c>
      <c r="K1095">
        <v>0</v>
      </c>
      <c r="L1095" t="s">
        <v>35</v>
      </c>
      <c r="M1095">
        <v>870</v>
      </c>
    </row>
    <row r="1096" spans="1:13">
      <c r="A1096">
        <v>1090</v>
      </c>
      <c r="B1096">
        <v>111942</v>
      </c>
      <c r="C1096" t="s">
        <v>2620</v>
      </c>
      <c r="D1096" t="s">
        <v>105</v>
      </c>
      <c r="E1096" t="s">
        <v>2621</v>
      </c>
      <c r="F1096" t="str">
        <f>"00383560"</f>
        <v>00383560</v>
      </c>
      <c r="G1096" t="s">
        <v>47</v>
      </c>
      <c r="H1096" t="s">
        <v>48</v>
      </c>
      <c r="I1096">
        <v>1623</v>
      </c>
      <c r="J1096" t="s">
        <v>21</v>
      </c>
      <c r="K1096">
        <v>0</v>
      </c>
      <c r="M1096">
        <v>1358</v>
      </c>
    </row>
    <row r="1097" spans="1:13">
      <c r="A1097">
        <v>1091</v>
      </c>
      <c r="B1097">
        <v>91667</v>
      </c>
      <c r="C1097" t="s">
        <v>2622</v>
      </c>
      <c r="D1097" t="s">
        <v>2623</v>
      </c>
      <c r="E1097" t="s">
        <v>2624</v>
      </c>
      <c r="F1097" t="str">
        <f>"00402277"</f>
        <v>00402277</v>
      </c>
      <c r="G1097" t="s">
        <v>2625</v>
      </c>
      <c r="H1097" t="s">
        <v>535</v>
      </c>
      <c r="I1097">
        <v>1669</v>
      </c>
      <c r="J1097" t="s">
        <v>21</v>
      </c>
      <c r="K1097">
        <v>0</v>
      </c>
      <c r="M1097">
        <v>1338</v>
      </c>
    </row>
    <row r="1098" spans="1:13">
      <c r="A1098">
        <v>1092</v>
      </c>
      <c r="B1098">
        <v>72726</v>
      </c>
      <c r="C1098" t="s">
        <v>2626</v>
      </c>
      <c r="D1098" t="s">
        <v>566</v>
      </c>
      <c r="E1098" t="s">
        <v>2627</v>
      </c>
      <c r="F1098" t="str">
        <f>"00408378"</f>
        <v>00408378</v>
      </c>
      <c r="G1098" t="s">
        <v>107</v>
      </c>
      <c r="H1098" t="s">
        <v>20</v>
      </c>
      <c r="I1098">
        <v>1472</v>
      </c>
      <c r="J1098" t="s">
        <v>21</v>
      </c>
      <c r="K1098">
        <v>0</v>
      </c>
      <c r="L1098" t="s">
        <v>112</v>
      </c>
      <c r="M1098">
        <v>908</v>
      </c>
    </row>
    <row r="1099" spans="1:13">
      <c r="A1099">
        <v>1093</v>
      </c>
      <c r="B1099">
        <v>113158</v>
      </c>
      <c r="C1099" t="s">
        <v>2628</v>
      </c>
      <c r="D1099" t="s">
        <v>1001</v>
      </c>
      <c r="E1099" t="s">
        <v>2629</v>
      </c>
      <c r="F1099" t="str">
        <f>"201511013604"</f>
        <v>201511013604</v>
      </c>
      <c r="G1099" t="s">
        <v>856</v>
      </c>
      <c r="H1099" t="s">
        <v>366</v>
      </c>
      <c r="I1099">
        <v>1706</v>
      </c>
      <c r="J1099" t="s">
        <v>21</v>
      </c>
      <c r="K1099">
        <v>0</v>
      </c>
      <c r="M1099">
        <v>1418</v>
      </c>
    </row>
    <row r="1100" spans="1:13">
      <c r="A1100">
        <v>1094</v>
      </c>
      <c r="B1100">
        <v>63561</v>
      </c>
      <c r="C1100" t="s">
        <v>2630</v>
      </c>
      <c r="D1100" t="s">
        <v>80</v>
      </c>
      <c r="E1100" t="s">
        <v>2631</v>
      </c>
      <c r="F1100" t="str">
        <f>"201602000044"</f>
        <v>201602000044</v>
      </c>
      <c r="G1100" t="s">
        <v>258</v>
      </c>
      <c r="H1100" t="s">
        <v>20</v>
      </c>
      <c r="I1100">
        <v>1484</v>
      </c>
      <c r="J1100" t="s">
        <v>21</v>
      </c>
      <c r="K1100">
        <v>0</v>
      </c>
      <c r="L1100" t="s">
        <v>83</v>
      </c>
      <c r="M1100">
        <v>1188</v>
      </c>
    </row>
    <row r="1101" spans="1:13">
      <c r="A1101">
        <v>1095</v>
      </c>
      <c r="B1101">
        <v>49764</v>
      </c>
      <c r="C1101" t="s">
        <v>2632</v>
      </c>
      <c r="D1101" t="s">
        <v>2264</v>
      </c>
      <c r="E1101" t="s">
        <v>2633</v>
      </c>
      <c r="F1101" t="str">
        <f>"00360427"</f>
        <v>00360427</v>
      </c>
      <c r="G1101" t="s">
        <v>683</v>
      </c>
      <c r="H1101" t="s">
        <v>535</v>
      </c>
      <c r="I1101">
        <v>1670</v>
      </c>
      <c r="J1101" t="s">
        <v>21</v>
      </c>
      <c r="K1101">
        <v>0</v>
      </c>
      <c r="M1101">
        <v>2128</v>
      </c>
    </row>
    <row r="1102" spans="1:13">
      <c r="A1102">
        <v>1096</v>
      </c>
      <c r="B1102">
        <v>103008</v>
      </c>
      <c r="C1102" t="s">
        <v>2634</v>
      </c>
      <c r="D1102" t="s">
        <v>811</v>
      </c>
      <c r="E1102" t="s">
        <v>2635</v>
      </c>
      <c r="F1102" t="str">
        <f>"00263893"</f>
        <v>00263893</v>
      </c>
      <c r="G1102" t="s">
        <v>47</v>
      </c>
      <c r="H1102" t="s">
        <v>48</v>
      </c>
      <c r="I1102">
        <v>1623</v>
      </c>
      <c r="J1102" t="s">
        <v>21</v>
      </c>
      <c r="K1102">
        <v>0</v>
      </c>
      <c r="L1102" t="s">
        <v>35</v>
      </c>
      <c r="M1102">
        <v>1208</v>
      </c>
    </row>
    <row r="1103" spans="1:13">
      <c r="A1103">
        <v>1097</v>
      </c>
      <c r="B1103">
        <v>111361</v>
      </c>
      <c r="C1103" t="s">
        <v>2636</v>
      </c>
      <c r="D1103" t="s">
        <v>180</v>
      </c>
      <c r="E1103" t="s">
        <v>2637</v>
      </c>
      <c r="F1103" t="str">
        <f>"00410275"</f>
        <v>00410275</v>
      </c>
      <c r="G1103" t="s">
        <v>718</v>
      </c>
      <c r="H1103" t="s">
        <v>48</v>
      </c>
      <c r="I1103">
        <v>1625</v>
      </c>
      <c r="J1103" t="s">
        <v>21</v>
      </c>
      <c r="K1103">
        <v>0</v>
      </c>
      <c r="L1103" t="s">
        <v>88</v>
      </c>
      <c r="M1103">
        <v>700</v>
      </c>
    </row>
    <row r="1104" spans="1:13">
      <c r="A1104">
        <v>1098</v>
      </c>
      <c r="B1104">
        <v>56466</v>
      </c>
      <c r="C1104" t="s">
        <v>2638</v>
      </c>
      <c r="D1104" t="s">
        <v>76</v>
      </c>
      <c r="E1104" t="s">
        <v>2639</v>
      </c>
      <c r="F1104" t="str">
        <f>"00203717"</f>
        <v>00203717</v>
      </c>
      <c r="G1104" t="s">
        <v>70</v>
      </c>
      <c r="H1104" t="s">
        <v>71</v>
      </c>
      <c r="I1104">
        <v>1702</v>
      </c>
      <c r="J1104" t="s">
        <v>21</v>
      </c>
      <c r="K1104">
        <v>0</v>
      </c>
      <c r="M1104">
        <v>1478</v>
      </c>
    </row>
    <row r="1105" spans="1:13">
      <c r="A1105">
        <v>1099</v>
      </c>
      <c r="B1105">
        <v>48053</v>
      </c>
      <c r="C1105" t="s">
        <v>2640</v>
      </c>
      <c r="D1105" t="s">
        <v>145</v>
      </c>
      <c r="E1105" t="s">
        <v>2641</v>
      </c>
      <c r="F1105" t="str">
        <f>"00316699"</f>
        <v>00316699</v>
      </c>
      <c r="G1105" t="s">
        <v>196</v>
      </c>
      <c r="H1105" t="s">
        <v>20</v>
      </c>
      <c r="I1105">
        <v>1512</v>
      </c>
      <c r="J1105" t="s">
        <v>21</v>
      </c>
      <c r="K1105">
        <v>6</v>
      </c>
      <c r="L1105" t="s">
        <v>35</v>
      </c>
      <c r="M1105">
        <v>983</v>
      </c>
    </row>
    <row r="1106" spans="1:13">
      <c r="A1106">
        <v>1100</v>
      </c>
      <c r="B1106">
        <v>96393</v>
      </c>
      <c r="C1106" t="s">
        <v>2642</v>
      </c>
      <c r="D1106" t="s">
        <v>1680</v>
      </c>
      <c r="E1106" t="s">
        <v>2643</v>
      </c>
      <c r="F1106" t="str">
        <f>"00407033"</f>
        <v>00407033</v>
      </c>
      <c r="G1106" t="s">
        <v>211</v>
      </c>
      <c r="H1106" t="s">
        <v>48</v>
      </c>
      <c r="I1106">
        <v>1628</v>
      </c>
      <c r="J1106" t="s">
        <v>21</v>
      </c>
      <c r="K1106">
        <v>0</v>
      </c>
      <c r="L1106" t="s">
        <v>35</v>
      </c>
      <c r="M1106">
        <v>958</v>
      </c>
    </row>
    <row r="1107" spans="1:13">
      <c r="A1107">
        <v>1101</v>
      </c>
      <c r="B1107">
        <v>93923</v>
      </c>
      <c r="C1107" t="s">
        <v>2644</v>
      </c>
      <c r="D1107" t="s">
        <v>80</v>
      </c>
      <c r="E1107" t="s">
        <v>2645</v>
      </c>
      <c r="F1107" t="str">
        <f>"00271121"</f>
        <v>00271121</v>
      </c>
      <c r="G1107" t="s">
        <v>2646</v>
      </c>
      <c r="H1107" t="s">
        <v>2647</v>
      </c>
      <c r="I1107">
        <v>1686</v>
      </c>
      <c r="J1107" t="s">
        <v>21</v>
      </c>
      <c r="K1107">
        <v>0</v>
      </c>
      <c r="M1107">
        <v>1488</v>
      </c>
    </row>
    <row r="1108" spans="1:13">
      <c r="A1108">
        <v>1102</v>
      </c>
      <c r="B1108">
        <v>102075</v>
      </c>
      <c r="C1108" t="s">
        <v>2648</v>
      </c>
      <c r="D1108" t="s">
        <v>218</v>
      </c>
      <c r="E1108" t="s">
        <v>2649</v>
      </c>
      <c r="F1108" t="str">
        <f>"00388814"</f>
        <v>00388814</v>
      </c>
      <c r="G1108" t="s">
        <v>258</v>
      </c>
      <c r="H1108" t="s">
        <v>20</v>
      </c>
      <c r="I1108">
        <v>1484</v>
      </c>
      <c r="J1108" t="s">
        <v>21</v>
      </c>
      <c r="K1108">
        <v>0</v>
      </c>
      <c r="M1108">
        <v>1288</v>
      </c>
    </row>
    <row r="1109" spans="1:13">
      <c r="A1109">
        <v>1103</v>
      </c>
      <c r="B1109">
        <v>70144</v>
      </c>
      <c r="C1109" t="s">
        <v>2650</v>
      </c>
      <c r="D1109" t="s">
        <v>218</v>
      </c>
      <c r="E1109" t="s">
        <v>2651</v>
      </c>
      <c r="F1109" t="str">
        <f>"00371294"</f>
        <v>00371294</v>
      </c>
      <c r="G1109" t="s">
        <v>465</v>
      </c>
      <c r="H1109" t="s">
        <v>20</v>
      </c>
      <c r="I1109">
        <v>1534</v>
      </c>
      <c r="J1109" t="s">
        <v>21</v>
      </c>
      <c r="K1109">
        <v>0</v>
      </c>
      <c r="M1109">
        <v>1328</v>
      </c>
    </row>
    <row r="1110" spans="1:13">
      <c r="A1110">
        <v>1104</v>
      </c>
      <c r="B1110">
        <v>102878</v>
      </c>
      <c r="C1110" t="s">
        <v>2652</v>
      </c>
      <c r="D1110" t="s">
        <v>566</v>
      </c>
      <c r="E1110" t="s">
        <v>2653</v>
      </c>
      <c r="F1110" t="str">
        <f>"00350082"</f>
        <v>00350082</v>
      </c>
      <c r="G1110" t="s">
        <v>178</v>
      </c>
      <c r="H1110" t="s">
        <v>20</v>
      </c>
      <c r="I1110">
        <v>1519</v>
      </c>
      <c r="J1110" t="s">
        <v>21</v>
      </c>
      <c r="K1110">
        <v>0</v>
      </c>
      <c r="L1110" t="s">
        <v>88</v>
      </c>
      <c r="M1110">
        <v>700</v>
      </c>
    </row>
    <row r="1111" spans="1:13">
      <c r="A1111">
        <v>1105</v>
      </c>
      <c r="B1111">
        <v>64546</v>
      </c>
      <c r="C1111" t="s">
        <v>2654</v>
      </c>
      <c r="D1111" t="s">
        <v>163</v>
      </c>
      <c r="E1111" t="s">
        <v>2655</v>
      </c>
      <c r="F1111" t="str">
        <f>"200801006782"</f>
        <v>200801006782</v>
      </c>
      <c r="G1111" t="s">
        <v>29</v>
      </c>
      <c r="H1111" t="s">
        <v>20</v>
      </c>
      <c r="I1111">
        <v>1446</v>
      </c>
      <c r="J1111" t="s">
        <v>21</v>
      </c>
      <c r="K1111">
        <v>0</v>
      </c>
      <c r="L1111" t="s">
        <v>35</v>
      </c>
      <c r="M1111">
        <v>1000</v>
      </c>
    </row>
    <row r="1112" spans="1:13">
      <c r="A1112">
        <v>1106</v>
      </c>
      <c r="B1112">
        <v>78376</v>
      </c>
      <c r="C1112" t="s">
        <v>2656</v>
      </c>
      <c r="D1112" t="s">
        <v>1474</v>
      </c>
      <c r="E1112" t="s">
        <v>2657</v>
      </c>
      <c r="F1112" t="str">
        <f>"00401003"</f>
        <v>00401003</v>
      </c>
      <c r="G1112" t="s">
        <v>19</v>
      </c>
      <c r="H1112" t="s">
        <v>20</v>
      </c>
      <c r="I1112">
        <v>1531</v>
      </c>
      <c r="J1112" t="s">
        <v>21</v>
      </c>
      <c r="K1112">
        <v>0</v>
      </c>
      <c r="L1112" t="s">
        <v>112</v>
      </c>
      <c r="M1112">
        <v>800</v>
      </c>
    </row>
    <row r="1113" spans="1:13">
      <c r="A1113">
        <v>1107</v>
      </c>
      <c r="B1113">
        <v>68566</v>
      </c>
      <c r="C1113" t="s">
        <v>2658</v>
      </c>
      <c r="D1113" t="s">
        <v>76</v>
      </c>
      <c r="E1113" t="s">
        <v>2659</v>
      </c>
      <c r="F1113" t="str">
        <f>"00409091"</f>
        <v>00409091</v>
      </c>
      <c r="G1113" t="s">
        <v>24</v>
      </c>
      <c r="H1113" t="s">
        <v>20</v>
      </c>
      <c r="I1113">
        <v>1577</v>
      </c>
      <c r="J1113" t="s">
        <v>21</v>
      </c>
      <c r="K1113">
        <v>0</v>
      </c>
      <c r="L1113" t="s">
        <v>59</v>
      </c>
      <c r="M1113">
        <v>1038</v>
      </c>
    </row>
    <row r="1114" spans="1:13">
      <c r="A1114">
        <v>1108</v>
      </c>
      <c r="B1114">
        <v>95258</v>
      </c>
      <c r="C1114" t="s">
        <v>2660</v>
      </c>
      <c r="D1114" t="s">
        <v>102</v>
      </c>
      <c r="E1114" t="s">
        <v>2661</v>
      </c>
      <c r="F1114" t="str">
        <f>"00256980"</f>
        <v>00256980</v>
      </c>
      <c r="G1114" t="s">
        <v>437</v>
      </c>
      <c r="H1114" t="s">
        <v>20</v>
      </c>
      <c r="I1114">
        <v>1407</v>
      </c>
      <c r="J1114" t="s">
        <v>21</v>
      </c>
      <c r="K1114">
        <v>0</v>
      </c>
      <c r="M1114">
        <v>1478</v>
      </c>
    </row>
    <row r="1115" spans="1:13">
      <c r="A1115">
        <v>1109</v>
      </c>
      <c r="B1115">
        <v>80248</v>
      </c>
      <c r="C1115" t="s">
        <v>2662</v>
      </c>
      <c r="D1115" t="s">
        <v>102</v>
      </c>
      <c r="E1115" t="s">
        <v>2663</v>
      </c>
      <c r="F1115" t="str">
        <f>"00404046"</f>
        <v>00404046</v>
      </c>
      <c r="G1115" t="s">
        <v>352</v>
      </c>
      <c r="H1115" t="s">
        <v>20</v>
      </c>
      <c r="I1115">
        <v>1471</v>
      </c>
      <c r="J1115" t="s">
        <v>21</v>
      </c>
      <c r="K1115">
        <v>0</v>
      </c>
      <c r="L1115" t="s">
        <v>35</v>
      </c>
      <c r="M1115">
        <v>1000</v>
      </c>
    </row>
    <row r="1116" spans="1:13">
      <c r="A1116">
        <v>1110</v>
      </c>
      <c r="B1116">
        <v>51606</v>
      </c>
      <c r="C1116" t="s">
        <v>2664</v>
      </c>
      <c r="D1116" t="s">
        <v>130</v>
      </c>
      <c r="E1116" t="s">
        <v>2665</v>
      </c>
      <c r="F1116" t="str">
        <f>"00214889"</f>
        <v>00214889</v>
      </c>
      <c r="G1116" t="s">
        <v>150</v>
      </c>
      <c r="H1116" t="s">
        <v>151</v>
      </c>
      <c r="I1116">
        <v>1699</v>
      </c>
      <c r="J1116" t="s">
        <v>21</v>
      </c>
      <c r="K1116">
        <v>0</v>
      </c>
      <c r="L1116" t="s">
        <v>35</v>
      </c>
      <c r="M1116">
        <v>875</v>
      </c>
    </row>
    <row r="1117" spans="1:13">
      <c r="A1117">
        <v>1111</v>
      </c>
      <c r="B1117">
        <v>50721</v>
      </c>
      <c r="C1117" t="s">
        <v>2666</v>
      </c>
      <c r="D1117" t="s">
        <v>76</v>
      </c>
      <c r="E1117" t="s">
        <v>2667</v>
      </c>
      <c r="F1117" t="str">
        <f>"201502000774"</f>
        <v>201502000774</v>
      </c>
      <c r="G1117" t="s">
        <v>203</v>
      </c>
      <c r="H1117" t="s">
        <v>20</v>
      </c>
      <c r="I1117">
        <v>1476</v>
      </c>
      <c r="J1117" t="s">
        <v>21</v>
      </c>
      <c r="K1117">
        <v>6</v>
      </c>
      <c r="L1117" t="s">
        <v>35</v>
      </c>
      <c r="M1117">
        <v>808</v>
      </c>
    </row>
    <row r="1118" spans="1:13">
      <c r="A1118">
        <v>1112</v>
      </c>
      <c r="B1118">
        <v>93083</v>
      </c>
      <c r="C1118" t="s">
        <v>2668</v>
      </c>
      <c r="D1118" t="s">
        <v>121</v>
      </c>
      <c r="E1118" t="s">
        <v>2669</v>
      </c>
      <c r="F1118" t="str">
        <f>"00300404"</f>
        <v>00300404</v>
      </c>
      <c r="G1118" t="s">
        <v>47</v>
      </c>
      <c r="H1118" t="s">
        <v>48</v>
      </c>
      <c r="I1118">
        <v>1623</v>
      </c>
      <c r="J1118" t="s">
        <v>21</v>
      </c>
      <c r="K1118">
        <v>0</v>
      </c>
      <c r="M1118">
        <v>1328</v>
      </c>
    </row>
    <row r="1119" spans="1:13">
      <c r="A1119">
        <v>1113</v>
      </c>
      <c r="B1119">
        <v>54289</v>
      </c>
      <c r="C1119" t="s">
        <v>2670</v>
      </c>
      <c r="D1119" t="s">
        <v>145</v>
      </c>
      <c r="E1119" t="s">
        <v>2671</v>
      </c>
      <c r="F1119" t="str">
        <f>"00233944"</f>
        <v>00233944</v>
      </c>
      <c r="G1119" t="s">
        <v>600</v>
      </c>
      <c r="H1119" t="s">
        <v>234</v>
      </c>
      <c r="I1119">
        <v>1337</v>
      </c>
      <c r="J1119" t="s">
        <v>21</v>
      </c>
      <c r="K1119">
        <v>0</v>
      </c>
      <c r="M1119">
        <v>1638</v>
      </c>
    </row>
    <row r="1120" spans="1:13">
      <c r="A1120">
        <v>1114</v>
      </c>
      <c r="B1120">
        <v>107688</v>
      </c>
      <c r="C1120" t="s">
        <v>2672</v>
      </c>
      <c r="D1120" t="s">
        <v>145</v>
      </c>
      <c r="E1120" t="s">
        <v>2673</v>
      </c>
      <c r="F1120" t="str">
        <f>"00043770"</f>
        <v>00043770</v>
      </c>
      <c r="G1120" t="s">
        <v>19</v>
      </c>
      <c r="H1120" t="s">
        <v>20</v>
      </c>
      <c r="I1120">
        <v>1531</v>
      </c>
      <c r="J1120" t="s">
        <v>21</v>
      </c>
      <c r="K1120">
        <v>0</v>
      </c>
      <c r="M1120">
        <v>1338</v>
      </c>
    </row>
    <row r="1121" spans="1:13">
      <c r="A1121">
        <v>1115</v>
      </c>
      <c r="B1121">
        <v>65300</v>
      </c>
      <c r="C1121" t="s">
        <v>2674</v>
      </c>
      <c r="D1121" t="s">
        <v>180</v>
      </c>
      <c r="E1121" t="s">
        <v>2675</v>
      </c>
      <c r="F1121" t="str">
        <f>"00088553"</f>
        <v>00088553</v>
      </c>
      <c r="G1121" t="s">
        <v>24</v>
      </c>
      <c r="H1121" t="s">
        <v>20</v>
      </c>
      <c r="I1121">
        <v>1577</v>
      </c>
      <c r="J1121" t="s">
        <v>21</v>
      </c>
      <c r="K1121">
        <v>0</v>
      </c>
      <c r="L1121" t="s">
        <v>35</v>
      </c>
      <c r="M1121">
        <v>858</v>
      </c>
    </row>
    <row r="1122" spans="1:13">
      <c r="A1122">
        <v>1116</v>
      </c>
      <c r="B1122">
        <v>80730</v>
      </c>
      <c r="C1122" t="s">
        <v>2676</v>
      </c>
      <c r="D1122" t="s">
        <v>288</v>
      </c>
      <c r="E1122" t="s">
        <v>2677</v>
      </c>
      <c r="F1122" t="str">
        <f>"00275475"</f>
        <v>00275475</v>
      </c>
      <c r="G1122" t="s">
        <v>1321</v>
      </c>
      <c r="H1122" t="s">
        <v>234</v>
      </c>
      <c r="I1122">
        <v>1330</v>
      </c>
      <c r="J1122" t="s">
        <v>21</v>
      </c>
      <c r="K1122">
        <v>0</v>
      </c>
      <c r="L1122" t="s">
        <v>35</v>
      </c>
      <c r="M1122">
        <v>1033</v>
      </c>
    </row>
    <row r="1123" spans="1:13">
      <c r="A1123">
        <v>1117</v>
      </c>
      <c r="B1123">
        <v>104723</v>
      </c>
      <c r="C1123" t="s">
        <v>2678</v>
      </c>
      <c r="D1123" t="s">
        <v>2679</v>
      </c>
      <c r="E1123" t="s">
        <v>2680</v>
      </c>
      <c r="F1123" t="str">
        <f>"201504002971"</f>
        <v>201504002971</v>
      </c>
      <c r="G1123" t="s">
        <v>465</v>
      </c>
      <c r="H1123" t="s">
        <v>20</v>
      </c>
      <c r="I1123">
        <v>1534</v>
      </c>
      <c r="J1123" t="s">
        <v>21</v>
      </c>
      <c r="K1123">
        <v>0</v>
      </c>
      <c r="L1123" t="s">
        <v>59</v>
      </c>
      <c r="M1123">
        <v>953</v>
      </c>
    </row>
    <row r="1124" spans="1:13">
      <c r="A1124">
        <v>1118</v>
      </c>
      <c r="B1124">
        <v>115109</v>
      </c>
      <c r="C1124" t="s">
        <v>2681</v>
      </c>
      <c r="D1124" t="s">
        <v>130</v>
      </c>
      <c r="E1124" t="s">
        <v>2682</v>
      </c>
      <c r="F1124" t="str">
        <f>"201511005807"</f>
        <v>201511005807</v>
      </c>
      <c r="G1124" t="s">
        <v>29</v>
      </c>
      <c r="H1124" t="s">
        <v>20</v>
      </c>
      <c r="I1124">
        <v>1446</v>
      </c>
      <c r="J1124" t="s">
        <v>21</v>
      </c>
      <c r="K1124">
        <v>0</v>
      </c>
      <c r="L1124" t="s">
        <v>59</v>
      </c>
      <c r="M1124">
        <v>1034</v>
      </c>
    </row>
    <row r="1125" spans="1:13">
      <c r="A1125">
        <v>1119</v>
      </c>
      <c r="B1125">
        <v>81829</v>
      </c>
      <c r="C1125" t="s">
        <v>2683</v>
      </c>
      <c r="D1125" t="s">
        <v>2684</v>
      </c>
      <c r="E1125" t="s">
        <v>2685</v>
      </c>
      <c r="F1125" t="str">
        <f>"201511028437"</f>
        <v>201511028437</v>
      </c>
      <c r="G1125" t="s">
        <v>971</v>
      </c>
      <c r="H1125" t="s">
        <v>48</v>
      </c>
      <c r="I1125">
        <v>1624</v>
      </c>
      <c r="J1125" t="s">
        <v>21</v>
      </c>
      <c r="K1125">
        <v>0</v>
      </c>
      <c r="M1125">
        <v>1318</v>
      </c>
    </row>
    <row r="1126" spans="1:13">
      <c r="A1126">
        <v>1120</v>
      </c>
      <c r="B1126">
        <v>87425</v>
      </c>
      <c r="C1126" t="s">
        <v>2686</v>
      </c>
      <c r="D1126" t="s">
        <v>243</v>
      </c>
      <c r="E1126" t="s">
        <v>2687</v>
      </c>
      <c r="F1126" t="str">
        <f>"201603000446"</f>
        <v>201603000446</v>
      </c>
      <c r="G1126" t="s">
        <v>1125</v>
      </c>
      <c r="H1126" t="s">
        <v>20</v>
      </c>
      <c r="I1126">
        <v>1431</v>
      </c>
      <c r="J1126" t="s">
        <v>21</v>
      </c>
      <c r="K1126">
        <v>0</v>
      </c>
      <c r="L1126" t="s">
        <v>35</v>
      </c>
      <c r="M1126">
        <v>1008</v>
      </c>
    </row>
    <row r="1127" spans="1:13">
      <c r="A1127">
        <v>1121</v>
      </c>
      <c r="B1127">
        <v>110715</v>
      </c>
      <c r="C1127" t="s">
        <v>2688</v>
      </c>
      <c r="D1127" t="s">
        <v>655</v>
      </c>
      <c r="E1127" t="s">
        <v>2689</v>
      </c>
      <c r="F1127" t="str">
        <f>"00409359"</f>
        <v>00409359</v>
      </c>
      <c r="G1127" t="s">
        <v>922</v>
      </c>
      <c r="H1127" t="s">
        <v>923</v>
      </c>
      <c r="I1127">
        <v>1704</v>
      </c>
      <c r="J1127" t="s">
        <v>21</v>
      </c>
      <c r="K1127">
        <v>0</v>
      </c>
      <c r="L1127" t="s">
        <v>35</v>
      </c>
      <c r="M1127">
        <v>1300</v>
      </c>
    </row>
    <row r="1128" spans="1:13">
      <c r="A1128">
        <v>1122</v>
      </c>
      <c r="B1128">
        <v>110811</v>
      </c>
      <c r="C1128" t="s">
        <v>2690</v>
      </c>
      <c r="D1128" t="s">
        <v>205</v>
      </c>
      <c r="E1128" t="s">
        <v>2691</v>
      </c>
      <c r="F1128" t="str">
        <f>"00410518"</f>
        <v>00410518</v>
      </c>
      <c r="G1128" t="s">
        <v>1125</v>
      </c>
      <c r="H1128" t="s">
        <v>20</v>
      </c>
      <c r="I1128">
        <v>1431</v>
      </c>
      <c r="J1128" t="s">
        <v>21</v>
      </c>
      <c r="K1128">
        <v>0</v>
      </c>
      <c r="L1128" t="s">
        <v>59</v>
      </c>
      <c r="M1128">
        <v>972</v>
      </c>
    </row>
    <row r="1129" spans="1:13">
      <c r="A1129">
        <v>1123</v>
      </c>
      <c r="B1129">
        <v>63627</v>
      </c>
      <c r="C1129" t="s">
        <v>2692</v>
      </c>
      <c r="D1129" t="s">
        <v>80</v>
      </c>
      <c r="E1129" t="s">
        <v>2693</v>
      </c>
      <c r="F1129" t="str">
        <f>"00257470"</f>
        <v>00257470</v>
      </c>
      <c r="G1129" t="s">
        <v>67</v>
      </c>
      <c r="H1129" t="s">
        <v>20</v>
      </c>
      <c r="I1129">
        <v>1434</v>
      </c>
      <c r="J1129" t="s">
        <v>21</v>
      </c>
      <c r="K1129">
        <v>0</v>
      </c>
      <c r="L1129" t="s">
        <v>59</v>
      </c>
      <c r="M1129">
        <v>832</v>
      </c>
    </row>
    <row r="1130" spans="1:13">
      <c r="A1130">
        <v>1124</v>
      </c>
      <c r="B1130">
        <v>70887</v>
      </c>
      <c r="C1130" t="s">
        <v>2694</v>
      </c>
      <c r="D1130" t="s">
        <v>76</v>
      </c>
      <c r="E1130" t="s">
        <v>2695</v>
      </c>
      <c r="F1130" t="str">
        <f>"00353499"</f>
        <v>00353499</v>
      </c>
      <c r="G1130" t="s">
        <v>150</v>
      </c>
      <c r="H1130" t="s">
        <v>151</v>
      </c>
      <c r="I1130">
        <v>1699</v>
      </c>
      <c r="J1130" t="s">
        <v>21</v>
      </c>
      <c r="K1130">
        <v>0</v>
      </c>
      <c r="L1130" t="s">
        <v>35</v>
      </c>
      <c r="M1130">
        <v>836</v>
      </c>
    </row>
    <row r="1131" spans="1:13">
      <c r="A1131">
        <v>1125</v>
      </c>
      <c r="B1131">
        <v>110272</v>
      </c>
      <c r="C1131" t="s">
        <v>2696</v>
      </c>
      <c r="D1131" t="s">
        <v>105</v>
      </c>
      <c r="E1131" t="s">
        <v>2697</v>
      </c>
      <c r="F1131" t="str">
        <f>"00350639"</f>
        <v>00350639</v>
      </c>
      <c r="G1131" t="s">
        <v>2698</v>
      </c>
      <c r="H1131" t="s">
        <v>216</v>
      </c>
      <c r="I1131">
        <v>1709</v>
      </c>
      <c r="J1131" t="s">
        <v>21</v>
      </c>
      <c r="K1131">
        <v>0</v>
      </c>
      <c r="L1131" t="s">
        <v>35</v>
      </c>
      <c r="M1131">
        <v>1100</v>
      </c>
    </row>
    <row r="1132" spans="1:13">
      <c r="A1132">
        <v>1126</v>
      </c>
      <c r="B1132">
        <v>48304</v>
      </c>
      <c r="C1132" t="s">
        <v>2699</v>
      </c>
      <c r="D1132" t="s">
        <v>80</v>
      </c>
      <c r="E1132" t="s">
        <v>2700</v>
      </c>
      <c r="F1132" t="str">
        <f>"00349809"</f>
        <v>00349809</v>
      </c>
      <c r="G1132" t="s">
        <v>547</v>
      </c>
      <c r="H1132" t="s">
        <v>274</v>
      </c>
      <c r="I1132">
        <v>1384</v>
      </c>
      <c r="J1132" t="s">
        <v>21</v>
      </c>
      <c r="K1132">
        <v>6</v>
      </c>
      <c r="L1132" t="s">
        <v>35</v>
      </c>
      <c r="M1132">
        <v>908</v>
      </c>
    </row>
    <row r="1133" spans="1:13">
      <c r="A1133">
        <v>1127</v>
      </c>
      <c r="B1133">
        <v>104344</v>
      </c>
      <c r="C1133" t="s">
        <v>2701</v>
      </c>
      <c r="D1133" t="s">
        <v>655</v>
      </c>
      <c r="E1133" t="s">
        <v>2702</v>
      </c>
      <c r="F1133" t="str">
        <f>"201511009089"</f>
        <v>201511009089</v>
      </c>
      <c r="G1133" t="s">
        <v>465</v>
      </c>
      <c r="H1133" t="s">
        <v>20</v>
      </c>
      <c r="I1133">
        <v>1534</v>
      </c>
      <c r="J1133" t="s">
        <v>21</v>
      </c>
      <c r="K1133">
        <v>0</v>
      </c>
      <c r="M1133">
        <v>1528</v>
      </c>
    </row>
    <row r="1134" spans="1:13">
      <c r="A1134">
        <v>1128</v>
      </c>
      <c r="B1134">
        <v>85811</v>
      </c>
      <c r="C1134" t="s">
        <v>2703</v>
      </c>
      <c r="D1134" t="s">
        <v>90</v>
      </c>
      <c r="E1134" t="s">
        <v>2704</v>
      </c>
      <c r="F1134" t="str">
        <f>"00247399"</f>
        <v>00247399</v>
      </c>
      <c r="G1134" t="s">
        <v>70</v>
      </c>
      <c r="H1134" t="s">
        <v>71</v>
      </c>
      <c r="I1134">
        <v>1702</v>
      </c>
      <c r="J1134" t="s">
        <v>21</v>
      </c>
      <c r="K1134">
        <v>0</v>
      </c>
      <c r="M1134">
        <v>1328</v>
      </c>
    </row>
    <row r="1135" spans="1:13">
      <c r="A1135">
        <v>1129</v>
      </c>
      <c r="B1135">
        <v>106883</v>
      </c>
      <c r="C1135" t="s">
        <v>2705</v>
      </c>
      <c r="D1135" t="s">
        <v>163</v>
      </c>
      <c r="E1135" t="s">
        <v>2706</v>
      </c>
      <c r="F1135" t="str">
        <f>"00380448"</f>
        <v>00380448</v>
      </c>
      <c r="G1135" t="s">
        <v>258</v>
      </c>
      <c r="H1135" t="s">
        <v>20</v>
      </c>
      <c r="I1135">
        <v>1484</v>
      </c>
      <c r="J1135" t="s">
        <v>21</v>
      </c>
      <c r="K1135">
        <v>0</v>
      </c>
      <c r="L1135" t="s">
        <v>35</v>
      </c>
      <c r="M1135">
        <v>900</v>
      </c>
    </row>
    <row r="1136" spans="1:13">
      <c r="A1136">
        <v>1130</v>
      </c>
      <c r="B1136">
        <v>46435</v>
      </c>
      <c r="C1136" t="s">
        <v>2707</v>
      </c>
      <c r="D1136" t="s">
        <v>2708</v>
      </c>
      <c r="E1136" t="s">
        <v>2709</v>
      </c>
      <c r="F1136" t="str">
        <f>"00296719"</f>
        <v>00296719</v>
      </c>
      <c r="G1136" t="s">
        <v>2710</v>
      </c>
      <c r="H1136" t="s">
        <v>366</v>
      </c>
      <c r="I1136">
        <v>1691</v>
      </c>
      <c r="J1136" t="s">
        <v>21</v>
      </c>
      <c r="K1136">
        <v>0</v>
      </c>
      <c r="M1136">
        <v>1338</v>
      </c>
    </row>
    <row r="1137" spans="1:13">
      <c r="A1137">
        <v>1131</v>
      </c>
      <c r="B1137">
        <v>83507</v>
      </c>
      <c r="C1137" t="s">
        <v>2711</v>
      </c>
      <c r="D1137" t="s">
        <v>98</v>
      </c>
      <c r="E1137" t="s">
        <v>2712</v>
      </c>
      <c r="F1137" t="str">
        <f>"00355939"</f>
        <v>00355939</v>
      </c>
      <c r="G1137" t="s">
        <v>713</v>
      </c>
      <c r="H1137" t="s">
        <v>366</v>
      </c>
      <c r="I1137">
        <v>1690</v>
      </c>
      <c r="J1137" t="s">
        <v>21</v>
      </c>
      <c r="K1137">
        <v>0</v>
      </c>
      <c r="M1137">
        <v>1538</v>
      </c>
    </row>
    <row r="1138" spans="1:13">
      <c r="A1138">
        <v>1132</v>
      </c>
      <c r="B1138">
        <v>88993</v>
      </c>
      <c r="C1138" t="s">
        <v>2713</v>
      </c>
      <c r="D1138" t="s">
        <v>105</v>
      </c>
      <c r="E1138" t="s">
        <v>2714</v>
      </c>
      <c r="F1138" t="str">
        <f>"00374493"</f>
        <v>00374493</v>
      </c>
      <c r="G1138" t="s">
        <v>465</v>
      </c>
      <c r="H1138" t="s">
        <v>20</v>
      </c>
      <c r="I1138">
        <v>1534</v>
      </c>
      <c r="J1138" t="s">
        <v>21</v>
      </c>
      <c r="K1138">
        <v>0</v>
      </c>
      <c r="M1138">
        <v>1318</v>
      </c>
    </row>
    <row r="1139" spans="1:13">
      <c r="A1139">
        <v>1133</v>
      </c>
      <c r="B1139">
        <v>85533</v>
      </c>
      <c r="C1139" t="s">
        <v>2715</v>
      </c>
      <c r="D1139" t="s">
        <v>80</v>
      </c>
      <c r="E1139" t="s">
        <v>2716</v>
      </c>
      <c r="F1139" t="str">
        <f>"200804000377"</f>
        <v>200804000377</v>
      </c>
      <c r="G1139" t="s">
        <v>371</v>
      </c>
      <c r="H1139" t="s">
        <v>20</v>
      </c>
      <c r="I1139">
        <v>1526</v>
      </c>
      <c r="J1139" t="s">
        <v>21</v>
      </c>
      <c r="K1139">
        <v>6</v>
      </c>
      <c r="L1139" t="s">
        <v>83</v>
      </c>
      <c r="M1139">
        <v>700</v>
      </c>
    </row>
    <row r="1140" spans="1:13">
      <c r="A1140">
        <v>1134</v>
      </c>
      <c r="B1140">
        <v>68425</v>
      </c>
      <c r="C1140" t="s">
        <v>2717</v>
      </c>
      <c r="D1140" t="s">
        <v>726</v>
      </c>
      <c r="E1140" t="s">
        <v>2718</v>
      </c>
      <c r="F1140" t="str">
        <f>"00385504"</f>
        <v>00385504</v>
      </c>
      <c r="G1140" t="s">
        <v>215</v>
      </c>
      <c r="H1140" t="s">
        <v>216</v>
      </c>
      <c r="I1140">
        <v>1708</v>
      </c>
      <c r="J1140" t="s">
        <v>21</v>
      </c>
      <c r="K1140">
        <v>6</v>
      </c>
      <c r="L1140" t="s">
        <v>35</v>
      </c>
      <c r="M1140">
        <v>1008</v>
      </c>
    </row>
    <row r="1141" spans="1:13">
      <c r="A1141">
        <v>1135</v>
      </c>
      <c r="B1141">
        <v>67864</v>
      </c>
      <c r="C1141" t="s">
        <v>2719</v>
      </c>
      <c r="D1141" t="s">
        <v>180</v>
      </c>
      <c r="E1141" t="s">
        <v>2720</v>
      </c>
      <c r="F1141" t="str">
        <f>"201510001149"</f>
        <v>201510001149</v>
      </c>
      <c r="G1141" t="s">
        <v>245</v>
      </c>
      <c r="H1141" t="s">
        <v>20</v>
      </c>
      <c r="I1141">
        <v>1406</v>
      </c>
      <c r="J1141" t="s">
        <v>21</v>
      </c>
      <c r="K1141">
        <v>0</v>
      </c>
      <c r="L1141" t="s">
        <v>59</v>
      </c>
      <c r="M1141">
        <v>1038</v>
      </c>
    </row>
    <row r="1142" spans="1:13">
      <c r="A1142">
        <v>1136</v>
      </c>
      <c r="B1142">
        <v>47749</v>
      </c>
      <c r="C1142" t="s">
        <v>2721</v>
      </c>
      <c r="D1142" t="s">
        <v>76</v>
      </c>
      <c r="E1142" t="s">
        <v>2722</v>
      </c>
      <c r="F1142" t="str">
        <f>"201604006052"</f>
        <v>201604006052</v>
      </c>
      <c r="G1142" t="s">
        <v>87</v>
      </c>
      <c r="H1142" t="s">
        <v>20</v>
      </c>
      <c r="I1142">
        <v>1436</v>
      </c>
      <c r="J1142" t="s">
        <v>21</v>
      </c>
      <c r="K1142">
        <v>0</v>
      </c>
      <c r="L1142" t="s">
        <v>88</v>
      </c>
      <c r="M1142">
        <v>504</v>
      </c>
    </row>
    <row r="1143" spans="1:13">
      <c r="A1143">
        <v>1137</v>
      </c>
      <c r="B1143">
        <v>83018</v>
      </c>
      <c r="C1143" t="s">
        <v>2723</v>
      </c>
      <c r="D1143" t="s">
        <v>2724</v>
      </c>
      <c r="E1143" t="s">
        <v>2725</v>
      </c>
      <c r="F1143" t="str">
        <f>"00410502"</f>
        <v>00410502</v>
      </c>
      <c r="G1143" t="s">
        <v>215</v>
      </c>
      <c r="H1143" t="s">
        <v>216</v>
      </c>
      <c r="I1143">
        <v>1708</v>
      </c>
      <c r="J1143" t="s">
        <v>21</v>
      </c>
      <c r="K1143">
        <v>6</v>
      </c>
      <c r="L1143" t="s">
        <v>35</v>
      </c>
      <c r="M1143">
        <v>800</v>
      </c>
    </row>
    <row r="1144" spans="1:13">
      <c r="A1144">
        <v>1138</v>
      </c>
      <c r="B1144">
        <v>98024</v>
      </c>
      <c r="C1144" t="s">
        <v>2726</v>
      </c>
      <c r="D1144" t="s">
        <v>2727</v>
      </c>
      <c r="E1144" t="s">
        <v>2728</v>
      </c>
      <c r="F1144" t="str">
        <f>"00337685"</f>
        <v>00337685</v>
      </c>
      <c r="G1144" t="s">
        <v>100</v>
      </c>
      <c r="H1144" t="s">
        <v>20</v>
      </c>
      <c r="I1144">
        <v>1468</v>
      </c>
      <c r="J1144" t="s">
        <v>21</v>
      </c>
      <c r="K1144">
        <v>0</v>
      </c>
      <c r="M1144">
        <v>1528</v>
      </c>
    </row>
    <row r="1145" spans="1:13">
      <c r="A1145">
        <v>1139</v>
      </c>
      <c r="B1145">
        <v>57593</v>
      </c>
      <c r="C1145" t="s">
        <v>2729</v>
      </c>
      <c r="D1145" t="s">
        <v>1327</v>
      </c>
      <c r="E1145" t="s">
        <v>2730</v>
      </c>
      <c r="F1145" t="str">
        <f>"00259216"</f>
        <v>00259216</v>
      </c>
      <c r="G1145" t="s">
        <v>42</v>
      </c>
      <c r="H1145" t="s">
        <v>43</v>
      </c>
      <c r="I1145">
        <v>1712</v>
      </c>
      <c r="J1145" t="s">
        <v>21</v>
      </c>
      <c r="K1145">
        <v>0</v>
      </c>
      <c r="M1145">
        <v>1588</v>
      </c>
    </row>
    <row r="1146" spans="1:13">
      <c r="A1146">
        <v>1140</v>
      </c>
      <c r="B1146">
        <v>75243</v>
      </c>
      <c r="C1146" t="s">
        <v>2731</v>
      </c>
      <c r="D1146" t="s">
        <v>80</v>
      </c>
      <c r="E1146" t="s">
        <v>2732</v>
      </c>
      <c r="F1146" t="str">
        <f>"00416008"</f>
        <v>00416008</v>
      </c>
      <c r="G1146" t="s">
        <v>107</v>
      </c>
      <c r="H1146" t="s">
        <v>20</v>
      </c>
      <c r="I1146">
        <v>1472</v>
      </c>
      <c r="J1146" t="s">
        <v>21</v>
      </c>
      <c r="K1146">
        <v>0</v>
      </c>
      <c r="L1146" t="s">
        <v>35</v>
      </c>
      <c r="M1146">
        <v>1074</v>
      </c>
    </row>
    <row r="1147" spans="1:13">
      <c r="A1147">
        <v>1141</v>
      </c>
      <c r="B1147">
        <v>102513</v>
      </c>
      <c r="C1147" t="s">
        <v>2733</v>
      </c>
      <c r="D1147" t="s">
        <v>105</v>
      </c>
      <c r="E1147" t="s">
        <v>2734</v>
      </c>
      <c r="F1147" t="str">
        <f>"00383266"</f>
        <v>00383266</v>
      </c>
      <c r="G1147" t="s">
        <v>718</v>
      </c>
      <c r="H1147" t="s">
        <v>48</v>
      </c>
      <c r="I1147">
        <v>1625</v>
      </c>
      <c r="J1147" t="s">
        <v>21</v>
      </c>
      <c r="K1147">
        <v>0</v>
      </c>
      <c r="M1147">
        <v>1702</v>
      </c>
    </row>
    <row r="1148" spans="1:13">
      <c r="A1148">
        <v>1142</v>
      </c>
      <c r="B1148">
        <v>76019</v>
      </c>
      <c r="C1148" t="s">
        <v>2735</v>
      </c>
      <c r="D1148" t="s">
        <v>243</v>
      </c>
      <c r="E1148" t="s">
        <v>2736</v>
      </c>
      <c r="F1148" t="str">
        <f>"00182738"</f>
        <v>00182738</v>
      </c>
      <c r="G1148" t="s">
        <v>603</v>
      </c>
      <c r="H1148" t="s">
        <v>20</v>
      </c>
      <c r="I1148">
        <v>1464</v>
      </c>
      <c r="J1148" t="s">
        <v>21</v>
      </c>
      <c r="K1148">
        <v>0</v>
      </c>
      <c r="M1148">
        <v>1488</v>
      </c>
    </row>
    <row r="1149" spans="1:13">
      <c r="A1149">
        <v>1143</v>
      </c>
      <c r="B1149">
        <v>116110</v>
      </c>
      <c r="C1149" t="s">
        <v>2737</v>
      </c>
      <c r="D1149" t="s">
        <v>180</v>
      </c>
      <c r="E1149" t="s">
        <v>2738</v>
      </c>
      <c r="F1149" t="str">
        <f>"00423654"</f>
        <v>00423654</v>
      </c>
      <c r="G1149" t="s">
        <v>107</v>
      </c>
      <c r="H1149" t="s">
        <v>20</v>
      </c>
      <c r="I1149">
        <v>1472</v>
      </c>
      <c r="J1149" t="s">
        <v>21</v>
      </c>
      <c r="K1149">
        <v>0</v>
      </c>
      <c r="L1149" t="s">
        <v>88</v>
      </c>
      <c r="M1149">
        <v>600</v>
      </c>
    </row>
    <row r="1150" spans="1:13">
      <c r="A1150">
        <v>1144</v>
      </c>
      <c r="B1150">
        <v>96069</v>
      </c>
      <c r="C1150" t="s">
        <v>2739</v>
      </c>
      <c r="D1150" t="s">
        <v>180</v>
      </c>
      <c r="E1150" t="s">
        <v>2740</v>
      </c>
      <c r="F1150" t="str">
        <f>"00392744"</f>
        <v>00392744</v>
      </c>
      <c r="G1150" t="s">
        <v>107</v>
      </c>
      <c r="H1150" t="s">
        <v>20</v>
      </c>
      <c r="I1150">
        <v>1472</v>
      </c>
      <c r="J1150" t="s">
        <v>21</v>
      </c>
      <c r="K1150">
        <v>0</v>
      </c>
      <c r="L1150" t="s">
        <v>59</v>
      </c>
      <c r="M1150">
        <v>978</v>
      </c>
    </row>
    <row r="1151" spans="1:13">
      <c r="A1151">
        <v>1145</v>
      </c>
      <c r="B1151">
        <v>69966</v>
      </c>
      <c r="C1151" t="s">
        <v>2741</v>
      </c>
      <c r="D1151" t="s">
        <v>2742</v>
      </c>
      <c r="E1151" t="s">
        <v>2743</v>
      </c>
      <c r="F1151" t="str">
        <f>"00046795"</f>
        <v>00046795</v>
      </c>
      <c r="G1151" t="s">
        <v>245</v>
      </c>
      <c r="H1151" t="s">
        <v>20</v>
      </c>
      <c r="I1151">
        <v>1406</v>
      </c>
      <c r="J1151" t="s">
        <v>21</v>
      </c>
      <c r="K1151">
        <v>0</v>
      </c>
      <c r="L1151" t="s">
        <v>35</v>
      </c>
      <c r="M1151">
        <v>908</v>
      </c>
    </row>
    <row r="1152" spans="1:13">
      <c r="A1152">
        <v>1146</v>
      </c>
      <c r="B1152">
        <v>77361</v>
      </c>
      <c r="C1152" t="s">
        <v>2744</v>
      </c>
      <c r="D1152" t="s">
        <v>94</v>
      </c>
      <c r="E1152" t="s">
        <v>2745</v>
      </c>
      <c r="F1152" t="str">
        <f>"00365142"</f>
        <v>00365142</v>
      </c>
      <c r="G1152" t="s">
        <v>284</v>
      </c>
      <c r="H1152" t="s">
        <v>270</v>
      </c>
      <c r="I1152">
        <v>1586</v>
      </c>
      <c r="J1152" t="s">
        <v>21</v>
      </c>
      <c r="K1152">
        <v>0</v>
      </c>
      <c r="M1152">
        <v>1368</v>
      </c>
    </row>
    <row r="1153" spans="1:13">
      <c r="A1153">
        <v>1147</v>
      </c>
      <c r="B1153">
        <v>59262</v>
      </c>
      <c r="C1153" t="s">
        <v>2746</v>
      </c>
      <c r="D1153" t="s">
        <v>153</v>
      </c>
      <c r="E1153" t="s">
        <v>2747</v>
      </c>
      <c r="F1153" t="str">
        <f>"00377535"</f>
        <v>00377535</v>
      </c>
      <c r="G1153" t="s">
        <v>215</v>
      </c>
      <c r="H1153" t="s">
        <v>216</v>
      </c>
      <c r="I1153">
        <v>1708</v>
      </c>
      <c r="J1153" t="s">
        <v>21</v>
      </c>
      <c r="K1153">
        <v>6</v>
      </c>
      <c r="L1153" t="s">
        <v>35</v>
      </c>
      <c r="M1153">
        <v>804</v>
      </c>
    </row>
    <row r="1154" spans="1:13">
      <c r="A1154">
        <v>1148</v>
      </c>
      <c r="B1154">
        <v>52916</v>
      </c>
      <c r="C1154" t="s">
        <v>2748</v>
      </c>
      <c r="D1154" t="s">
        <v>80</v>
      </c>
      <c r="E1154" t="s">
        <v>2749</v>
      </c>
      <c r="F1154" t="str">
        <f>"00347111"</f>
        <v>00347111</v>
      </c>
      <c r="G1154" t="s">
        <v>724</v>
      </c>
      <c r="H1154" t="s">
        <v>20</v>
      </c>
      <c r="I1154">
        <v>1411</v>
      </c>
      <c r="J1154" t="s">
        <v>21</v>
      </c>
      <c r="K1154">
        <v>0</v>
      </c>
      <c r="L1154" t="s">
        <v>35</v>
      </c>
      <c r="M1154">
        <v>900</v>
      </c>
    </row>
    <row r="1155" spans="1:13">
      <c r="A1155">
        <v>1149</v>
      </c>
      <c r="B1155">
        <v>99944</v>
      </c>
      <c r="C1155" t="s">
        <v>2750</v>
      </c>
      <c r="D1155" t="s">
        <v>1385</v>
      </c>
      <c r="E1155" t="s">
        <v>2751</v>
      </c>
      <c r="F1155" t="str">
        <f>"00101878"</f>
        <v>00101878</v>
      </c>
      <c r="G1155" t="s">
        <v>125</v>
      </c>
      <c r="H1155" t="s">
        <v>20</v>
      </c>
      <c r="I1155">
        <v>1507</v>
      </c>
      <c r="J1155" t="s">
        <v>21</v>
      </c>
      <c r="K1155">
        <v>0</v>
      </c>
      <c r="L1155" t="s">
        <v>35</v>
      </c>
      <c r="M1155">
        <v>1108</v>
      </c>
    </row>
    <row r="1156" spans="1:13">
      <c r="A1156">
        <v>1150</v>
      </c>
      <c r="B1156">
        <v>53144</v>
      </c>
      <c r="C1156" t="s">
        <v>2752</v>
      </c>
      <c r="D1156" t="s">
        <v>105</v>
      </c>
      <c r="E1156" t="s">
        <v>2753</v>
      </c>
      <c r="F1156" t="str">
        <f>"00070249"</f>
        <v>00070249</v>
      </c>
      <c r="G1156" t="s">
        <v>125</v>
      </c>
      <c r="H1156" t="s">
        <v>20</v>
      </c>
      <c r="I1156">
        <v>1507</v>
      </c>
      <c r="J1156" t="s">
        <v>21</v>
      </c>
      <c r="K1156">
        <v>0</v>
      </c>
      <c r="M1156">
        <v>1488</v>
      </c>
    </row>
    <row r="1157" spans="1:13">
      <c r="A1157">
        <v>1151</v>
      </c>
      <c r="B1157">
        <v>48515</v>
      </c>
      <c r="C1157" t="s">
        <v>2754</v>
      </c>
      <c r="D1157" t="s">
        <v>105</v>
      </c>
      <c r="E1157" t="s">
        <v>2755</v>
      </c>
      <c r="F1157" t="str">
        <f>"201502000983"</f>
        <v>201502000983</v>
      </c>
      <c r="G1157" t="s">
        <v>107</v>
      </c>
      <c r="H1157" t="s">
        <v>20</v>
      </c>
      <c r="I1157">
        <v>1472</v>
      </c>
      <c r="J1157" t="s">
        <v>21</v>
      </c>
      <c r="K1157">
        <v>0</v>
      </c>
      <c r="M1157">
        <v>1588</v>
      </c>
    </row>
    <row r="1158" spans="1:13">
      <c r="A1158">
        <v>1152</v>
      </c>
      <c r="B1158">
        <v>51648</v>
      </c>
      <c r="C1158" t="s">
        <v>2756</v>
      </c>
      <c r="D1158" t="s">
        <v>121</v>
      </c>
      <c r="E1158" t="s">
        <v>2757</v>
      </c>
      <c r="F1158" t="str">
        <f>"00370201"</f>
        <v>00370201</v>
      </c>
      <c r="G1158" t="s">
        <v>531</v>
      </c>
      <c r="H1158" t="s">
        <v>20</v>
      </c>
      <c r="I1158">
        <v>1445</v>
      </c>
      <c r="J1158" t="s">
        <v>21</v>
      </c>
      <c r="K1158">
        <v>0</v>
      </c>
      <c r="M1158">
        <v>1733</v>
      </c>
    </row>
    <row r="1159" spans="1:13">
      <c r="A1159">
        <v>1153</v>
      </c>
      <c r="B1159">
        <v>73818</v>
      </c>
      <c r="C1159" t="s">
        <v>2758</v>
      </c>
      <c r="D1159" t="s">
        <v>198</v>
      </c>
      <c r="E1159" t="s">
        <v>2759</v>
      </c>
      <c r="F1159" t="str">
        <f>"00380919"</f>
        <v>00380919</v>
      </c>
      <c r="G1159" t="s">
        <v>488</v>
      </c>
      <c r="H1159" t="s">
        <v>20</v>
      </c>
      <c r="I1159">
        <v>1482</v>
      </c>
      <c r="J1159" t="s">
        <v>21</v>
      </c>
      <c r="K1159">
        <v>0</v>
      </c>
      <c r="L1159" t="s">
        <v>35</v>
      </c>
      <c r="M1159">
        <v>900</v>
      </c>
    </row>
    <row r="1160" spans="1:13">
      <c r="A1160">
        <v>1154</v>
      </c>
      <c r="B1160">
        <v>68810</v>
      </c>
      <c r="C1160" t="s">
        <v>2760</v>
      </c>
      <c r="D1160" t="s">
        <v>80</v>
      </c>
      <c r="E1160" t="s">
        <v>2761</v>
      </c>
      <c r="F1160" t="str">
        <f>"00346518"</f>
        <v>00346518</v>
      </c>
      <c r="G1160" t="s">
        <v>245</v>
      </c>
      <c r="H1160" t="s">
        <v>20</v>
      </c>
      <c r="I1160">
        <v>1406</v>
      </c>
      <c r="J1160" t="s">
        <v>21</v>
      </c>
      <c r="K1160">
        <v>0</v>
      </c>
      <c r="L1160" t="s">
        <v>35</v>
      </c>
      <c r="M1160">
        <v>940</v>
      </c>
    </row>
    <row r="1161" spans="1:13">
      <c r="A1161">
        <v>1155</v>
      </c>
      <c r="B1161">
        <v>75350</v>
      </c>
      <c r="C1161" t="s">
        <v>2762</v>
      </c>
      <c r="D1161" t="s">
        <v>105</v>
      </c>
      <c r="E1161" t="s">
        <v>2763</v>
      </c>
      <c r="F1161" t="str">
        <f>"00310490"</f>
        <v>00310490</v>
      </c>
      <c r="G1161" t="s">
        <v>107</v>
      </c>
      <c r="H1161" t="s">
        <v>20</v>
      </c>
      <c r="I1161">
        <v>1472</v>
      </c>
      <c r="J1161" t="s">
        <v>21</v>
      </c>
      <c r="K1161">
        <v>0</v>
      </c>
      <c r="L1161" t="s">
        <v>35</v>
      </c>
      <c r="M1161">
        <v>908</v>
      </c>
    </row>
    <row r="1162" spans="1:13">
      <c r="A1162">
        <v>1156</v>
      </c>
      <c r="B1162">
        <v>112339</v>
      </c>
      <c r="C1162" t="s">
        <v>2764</v>
      </c>
      <c r="D1162" t="s">
        <v>102</v>
      </c>
      <c r="E1162" t="s">
        <v>2765</v>
      </c>
      <c r="F1162" t="str">
        <f>"00342260"</f>
        <v>00342260</v>
      </c>
      <c r="G1162" t="s">
        <v>284</v>
      </c>
      <c r="H1162" t="s">
        <v>270</v>
      </c>
      <c r="I1162">
        <v>1586</v>
      </c>
      <c r="J1162" t="s">
        <v>21</v>
      </c>
      <c r="K1162">
        <v>0</v>
      </c>
      <c r="L1162" t="s">
        <v>35</v>
      </c>
      <c r="M1162">
        <v>908</v>
      </c>
    </row>
    <row r="1163" spans="1:13">
      <c r="A1163">
        <v>1157</v>
      </c>
      <c r="B1163">
        <v>112178</v>
      </c>
      <c r="C1163" t="s">
        <v>2766</v>
      </c>
      <c r="D1163" t="s">
        <v>198</v>
      </c>
      <c r="E1163" t="s">
        <v>2767</v>
      </c>
      <c r="F1163" t="str">
        <f>"00361094"</f>
        <v>00361094</v>
      </c>
      <c r="G1163" t="s">
        <v>2768</v>
      </c>
      <c r="H1163" t="s">
        <v>20</v>
      </c>
      <c r="I1163">
        <v>1409</v>
      </c>
      <c r="J1163" t="s">
        <v>21</v>
      </c>
      <c r="K1163">
        <v>0</v>
      </c>
      <c r="L1163" t="s">
        <v>35</v>
      </c>
      <c r="M1163">
        <v>908</v>
      </c>
    </row>
    <row r="1164" spans="1:13">
      <c r="A1164">
        <v>1158</v>
      </c>
      <c r="B1164">
        <v>113998</v>
      </c>
      <c r="C1164" t="s">
        <v>2769</v>
      </c>
      <c r="D1164" t="s">
        <v>105</v>
      </c>
      <c r="E1164" t="s">
        <v>2770</v>
      </c>
      <c r="F1164" t="str">
        <f>"00380811"</f>
        <v>00380811</v>
      </c>
      <c r="G1164" t="s">
        <v>561</v>
      </c>
      <c r="H1164" t="s">
        <v>20</v>
      </c>
      <c r="I1164">
        <v>1574</v>
      </c>
      <c r="J1164" t="s">
        <v>21</v>
      </c>
      <c r="K1164">
        <v>0</v>
      </c>
      <c r="M1164">
        <v>1360</v>
      </c>
    </row>
    <row r="1165" spans="1:13">
      <c r="A1165">
        <v>1159</v>
      </c>
      <c r="B1165">
        <v>82096</v>
      </c>
      <c r="C1165" t="s">
        <v>2771</v>
      </c>
      <c r="D1165" t="s">
        <v>80</v>
      </c>
      <c r="E1165" t="s">
        <v>2772</v>
      </c>
      <c r="F1165" t="str">
        <f>"00393179"</f>
        <v>00393179</v>
      </c>
      <c r="G1165" t="s">
        <v>150</v>
      </c>
      <c r="H1165" t="s">
        <v>151</v>
      </c>
      <c r="I1165">
        <v>1699</v>
      </c>
      <c r="J1165" t="s">
        <v>21</v>
      </c>
      <c r="K1165">
        <v>0</v>
      </c>
      <c r="M1165">
        <v>1328</v>
      </c>
    </row>
    <row r="1166" spans="1:13">
      <c r="A1166">
        <v>1160</v>
      </c>
      <c r="B1166">
        <v>90361</v>
      </c>
      <c r="C1166" t="s">
        <v>2773</v>
      </c>
      <c r="D1166" t="s">
        <v>76</v>
      </c>
      <c r="E1166" t="s">
        <v>2774</v>
      </c>
      <c r="F1166" t="str">
        <f>"00375482"</f>
        <v>00375482</v>
      </c>
      <c r="G1166" t="s">
        <v>107</v>
      </c>
      <c r="H1166" t="s">
        <v>20</v>
      </c>
      <c r="I1166">
        <v>1472</v>
      </c>
      <c r="J1166" t="s">
        <v>21</v>
      </c>
      <c r="K1166">
        <v>0</v>
      </c>
      <c r="M1166">
        <v>1396</v>
      </c>
    </row>
    <row r="1167" spans="1:13">
      <c r="A1167">
        <v>1161</v>
      </c>
      <c r="B1167">
        <v>75670</v>
      </c>
      <c r="C1167" t="s">
        <v>2775</v>
      </c>
      <c r="D1167" t="s">
        <v>130</v>
      </c>
      <c r="E1167" t="s">
        <v>2776</v>
      </c>
      <c r="F1167" t="str">
        <f>"201511020238"</f>
        <v>201511020238</v>
      </c>
      <c r="G1167" t="s">
        <v>47</v>
      </c>
      <c r="H1167" t="s">
        <v>48</v>
      </c>
      <c r="I1167">
        <v>1623</v>
      </c>
      <c r="J1167" t="s">
        <v>21</v>
      </c>
      <c r="K1167">
        <v>0</v>
      </c>
      <c r="M1167">
        <v>1328</v>
      </c>
    </row>
    <row r="1168" spans="1:13">
      <c r="A1168">
        <v>1162</v>
      </c>
      <c r="B1168">
        <v>68221</v>
      </c>
      <c r="C1168" t="s">
        <v>2777</v>
      </c>
      <c r="D1168" t="s">
        <v>117</v>
      </c>
      <c r="E1168" t="s">
        <v>2778</v>
      </c>
      <c r="F1168" t="str">
        <f>"00386626"</f>
        <v>00386626</v>
      </c>
      <c r="G1168" t="s">
        <v>82</v>
      </c>
      <c r="H1168" t="s">
        <v>20</v>
      </c>
      <c r="I1168">
        <v>1475</v>
      </c>
      <c r="J1168" t="s">
        <v>21</v>
      </c>
      <c r="K1168">
        <v>0</v>
      </c>
      <c r="L1168" t="s">
        <v>35</v>
      </c>
      <c r="M1168">
        <v>908</v>
      </c>
    </row>
    <row r="1169" spans="1:13">
      <c r="A1169">
        <v>1163</v>
      </c>
      <c r="B1169">
        <v>79553</v>
      </c>
      <c r="C1169" t="s">
        <v>2779</v>
      </c>
      <c r="D1169" t="s">
        <v>205</v>
      </c>
      <c r="E1169" t="s">
        <v>2780</v>
      </c>
      <c r="F1169" t="str">
        <f>"00253426"</f>
        <v>00253426</v>
      </c>
      <c r="G1169" t="s">
        <v>150</v>
      </c>
      <c r="H1169" t="s">
        <v>151</v>
      </c>
      <c r="I1169">
        <v>1699</v>
      </c>
      <c r="J1169" t="s">
        <v>21</v>
      </c>
      <c r="K1169">
        <v>0</v>
      </c>
      <c r="L1169" t="s">
        <v>35</v>
      </c>
      <c r="M1169">
        <v>1158</v>
      </c>
    </row>
    <row r="1170" spans="1:13">
      <c r="A1170">
        <v>1164</v>
      </c>
      <c r="B1170">
        <v>91974</v>
      </c>
      <c r="C1170" t="s">
        <v>2781</v>
      </c>
      <c r="D1170" t="s">
        <v>76</v>
      </c>
      <c r="E1170" t="s">
        <v>2782</v>
      </c>
      <c r="F1170" t="str">
        <f>"00399102"</f>
        <v>00399102</v>
      </c>
      <c r="G1170" t="s">
        <v>520</v>
      </c>
      <c r="H1170" t="s">
        <v>20</v>
      </c>
      <c r="I1170">
        <v>1540</v>
      </c>
      <c r="J1170" t="s">
        <v>21</v>
      </c>
      <c r="K1170">
        <v>0</v>
      </c>
      <c r="M1170">
        <v>1428</v>
      </c>
    </row>
    <row r="1171" spans="1:13">
      <c r="A1171">
        <v>1165</v>
      </c>
      <c r="B1171">
        <v>81209</v>
      </c>
      <c r="C1171" t="s">
        <v>2783</v>
      </c>
      <c r="D1171" t="s">
        <v>180</v>
      </c>
      <c r="E1171" t="s">
        <v>2784</v>
      </c>
      <c r="F1171" t="str">
        <f>"00207805"</f>
        <v>00207805</v>
      </c>
      <c r="G1171" t="s">
        <v>922</v>
      </c>
      <c r="H1171" t="s">
        <v>738</v>
      </c>
      <c r="I1171">
        <v>1644</v>
      </c>
      <c r="J1171" t="s">
        <v>21</v>
      </c>
      <c r="K1171">
        <v>0</v>
      </c>
      <c r="M1171">
        <v>1668</v>
      </c>
    </row>
    <row r="1172" spans="1:13">
      <c r="A1172">
        <v>1166</v>
      </c>
      <c r="B1172">
        <v>62146</v>
      </c>
      <c r="C1172" t="s">
        <v>2785</v>
      </c>
      <c r="D1172" t="s">
        <v>90</v>
      </c>
      <c r="E1172" t="s">
        <v>2786</v>
      </c>
      <c r="F1172" t="str">
        <f>"00348932"</f>
        <v>00348932</v>
      </c>
      <c r="G1172" t="s">
        <v>24</v>
      </c>
      <c r="H1172" t="s">
        <v>20</v>
      </c>
      <c r="I1172">
        <v>1577</v>
      </c>
      <c r="J1172" t="s">
        <v>21</v>
      </c>
      <c r="K1172">
        <v>0</v>
      </c>
      <c r="L1172" t="s">
        <v>35</v>
      </c>
      <c r="M1172">
        <v>872</v>
      </c>
    </row>
    <row r="1173" spans="1:13">
      <c r="A1173">
        <v>1167</v>
      </c>
      <c r="B1173">
        <v>47591</v>
      </c>
      <c r="C1173" t="s">
        <v>2787</v>
      </c>
      <c r="D1173" t="s">
        <v>700</v>
      </c>
      <c r="E1173" t="s">
        <v>2788</v>
      </c>
      <c r="F1173" t="str">
        <f>"201406000293"</f>
        <v>201406000293</v>
      </c>
      <c r="G1173" t="s">
        <v>1084</v>
      </c>
      <c r="H1173" t="s">
        <v>1085</v>
      </c>
      <c r="I1173">
        <v>1588</v>
      </c>
      <c r="J1173" t="s">
        <v>21</v>
      </c>
      <c r="K1173">
        <v>0</v>
      </c>
      <c r="L1173" t="s">
        <v>88</v>
      </c>
      <c r="M1173">
        <v>475</v>
      </c>
    </row>
    <row r="1174" spans="1:13">
      <c r="A1174">
        <v>1168</v>
      </c>
      <c r="B1174">
        <v>97057</v>
      </c>
      <c r="C1174" t="s">
        <v>2789</v>
      </c>
      <c r="D1174" t="s">
        <v>145</v>
      </c>
      <c r="E1174" t="s">
        <v>2790</v>
      </c>
      <c r="F1174" t="str">
        <f>"00029581"</f>
        <v>00029581</v>
      </c>
      <c r="G1174" t="s">
        <v>107</v>
      </c>
      <c r="H1174" t="s">
        <v>20</v>
      </c>
      <c r="I1174">
        <v>1472</v>
      </c>
      <c r="J1174" t="s">
        <v>21</v>
      </c>
      <c r="K1174">
        <v>0</v>
      </c>
      <c r="L1174" t="s">
        <v>35</v>
      </c>
      <c r="M1174">
        <v>1000</v>
      </c>
    </row>
    <row r="1175" spans="1:13">
      <c r="A1175">
        <v>1169</v>
      </c>
      <c r="B1175">
        <v>82791</v>
      </c>
      <c r="C1175" t="s">
        <v>2791</v>
      </c>
      <c r="D1175" t="s">
        <v>121</v>
      </c>
      <c r="E1175" t="s">
        <v>2792</v>
      </c>
      <c r="F1175" t="str">
        <f>"00407000"</f>
        <v>00407000</v>
      </c>
      <c r="G1175" t="s">
        <v>1155</v>
      </c>
      <c r="H1175" t="s">
        <v>20</v>
      </c>
      <c r="I1175">
        <v>1480</v>
      </c>
      <c r="J1175" t="s">
        <v>21</v>
      </c>
      <c r="K1175">
        <v>0</v>
      </c>
      <c r="L1175" t="s">
        <v>35</v>
      </c>
      <c r="M1175">
        <v>1058</v>
      </c>
    </row>
    <row r="1176" spans="1:13">
      <c r="A1176">
        <v>1170</v>
      </c>
      <c r="B1176">
        <v>110620</v>
      </c>
      <c r="C1176" t="s">
        <v>2793</v>
      </c>
      <c r="D1176" t="s">
        <v>243</v>
      </c>
      <c r="E1176" t="s">
        <v>2794</v>
      </c>
      <c r="F1176" t="str">
        <f>"00418444"</f>
        <v>00418444</v>
      </c>
      <c r="G1176" t="s">
        <v>1079</v>
      </c>
      <c r="H1176" t="s">
        <v>20</v>
      </c>
      <c r="I1176">
        <v>1433</v>
      </c>
      <c r="J1176" t="s">
        <v>21</v>
      </c>
      <c r="K1176">
        <v>0</v>
      </c>
      <c r="M1176">
        <v>1428</v>
      </c>
    </row>
    <row r="1177" spans="1:13">
      <c r="A1177">
        <v>1171</v>
      </c>
      <c r="B1177">
        <v>70823</v>
      </c>
      <c r="C1177" t="s">
        <v>2795</v>
      </c>
      <c r="D1177" t="s">
        <v>391</v>
      </c>
      <c r="E1177" t="s">
        <v>2796</v>
      </c>
      <c r="F1177" t="str">
        <f>"00078601"</f>
        <v>00078601</v>
      </c>
      <c r="G1177" t="s">
        <v>2797</v>
      </c>
      <c r="H1177" t="s">
        <v>2798</v>
      </c>
      <c r="I1177">
        <v>1641</v>
      </c>
      <c r="J1177" t="s">
        <v>21</v>
      </c>
      <c r="K1177">
        <v>6</v>
      </c>
      <c r="M1177">
        <v>1278</v>
      </c>
    </row>
    <row r="1178" spans="1:13">
      <c r="A1178">
        <v>1172</v>
      </c>
      <c r="B1178">
        <v>112793</v>
      </c>
      <c r="C1178" t="s">
        <v>2799</v>
      </c>
      <c r="D1178" t="s">
        <v>209</v>
      </c>
      <c r="E1178" t="s">
        <v>2800</v>
      </c>
      <c r="F1178" t="str">
        <f>"00178811"</f>
        <v>00178811</v>
      </c>
      <c r="G1178" t="s">
        <v>683</v>
      </c>
      <c r="H1178" t="s">
        <v>535</v>
      </c>
      <c r="I1178">
        <v>1670</v>
      </c>
      <c r="J1178" t="s">
        <v>21</v>
      </c>
      <c r="K1178">
        <v>0</v>
      </c>
      <c r="M1178">
        <v>1338</v>
      </c>
    </row>
    <row r="1179" spans="1:13">
      <c r="A1179">
        <v>1173</v>
      </c>
      <c r="B1179">
        <v>86798</v>
      </c>
      <c r="C1179" t="s">
        <v>2801</v>
      </c>
      <c r="D1179" t="s">
        <v>243</v>
      </c>
      <c r="E1179" t="s">
        <v>2802</v>
      </c>
      <c r="F1179" t="str">
        <f>"00259053"</f>
        <v>00259053</v>
      </c>
      <c r="G1179" t="s">
        <v>1074</v>
      </c>
      <c r="H1179" t="s">
        <v>48</v>
      </c>
      <c r="I1179">
        <v>1627</v>
      </c>
      <c r="J1179" t="s">
        <v>21</v>
      </c>
      <c r="K1179">
        <v>6</v>
      </c>
      <c r="L1179" t="s">
        <v>59</v>
      </c>
      <c r="M1179">
        <v>788</v>
      </c>
    </row>
    <row r="1180" spans="1:13">
      <c r="A1180">
        <v>1174</v>
      </c>
      <c r="B1180">
        <v>105776</v>
      </c>
      <c r="C1180" t="s">
        <v>2803</v>
      </c>
      <c r="D1180" t="s">
        <v>98</v>
      </c>
      <c r="E1180" t="s">
        <v>2804</v>
      </c>
      <c r="F1180" t="str">
        <f>"00384150"</f>
        <v>00384150</v>
      </c>
      <c r="G1180" t="s">
        <v>2228</v>
      </c>
      <c r="H1180" t="s">
        <v>20</v>
      </c>
      <c r="I1180">
        <v>1469</v>
      </c>
      <c r="J1180" t="s">
        <v>21</v>
      </c>
      <c r="K1180">
        <v>0</v>
      </c>
      <c r="M1180">
        <v>1728</v>
      </c>
    </row>
    <row r="1181" spans="1:13">
      <c r="A1181">
        <v>1175</v>
      </c>
      <c r="B1181">
        <v>68061</v>
      </c>
      <c r="C1181" t="s">
        <v>2805</v>
      </c>
      <c r="D1181" t="s">
        <v>756</v>
      </c>
      <c r="E1181" t="s">
        <v>2806</v>
      </c>
      <c r="F1181" t="str">
        <f>"00347417"</f>
        <v>00347417</v>
      </c>
      <c r="G1181" t="s">
        <v>150</v>
      </c>
      <c r="H1181" t="s">
        <v>151</v>
      </c>
      <c r="I1181">
        <v>1699</v>
      </c>
      <c r="J1181" t="s">
        <v>21</v>
      </c>
      <c r="K1181">
        <v>0</v>
      </c>
      <c r="M1181">
        <v>1368</v>
      </c>
    </row>
    <row r="1182" spans="1:13">
      <c r="A1182">
        <v>1176</v>
      </c>
      <c r="B1182">
        <v>60536</v>
      </c>
      <c r="C1182" t="s">
        <v>2807</v>
      </c>
      <c r="D1182" t="s">
        <v>121</v>
      </c>
      <c r="E1182" t="s">
        <v>2808</v>
      </c>
      <c r="F1182" t="str">
        <f>"00001621"</f>
        <v>00001621</v>
      </c>
      <c r="G1182" t="s">
        <v>230</v>
      </c>
      <c r="H1182" t="s">
        <v>20</v>
      </c>
      <c r="I1182">
        <v>1545</v>
      </c>
      <c r="J1182" t="s">
        <v>21</v>
      </c>
      <c r="K1182">
        <v>0</v>
      </c>
      <c r="L1182" t="s">
        <v>35</v>
      </c>
      <c r="M1182">
        <v>1008</v>
      </c>
    </row>
    <row r="1183" spans="1:13">
      <c r="A1183">
        <v>1177</v>
      </c>
      <c r="B1183">
        <v>90528</v>
      </c>
      <c r="C1183" t="s">
        <v>2809</v>
      </c>
      <c r="D1183" t="s">
        <v>288</v>
      </c>
      <c r="E1183" t="s">
        <v>2810</v>
      </c>
      <c r="F1183" t="str">
        <f>"00400102"</f>
        <v>00400102</v>
      </c>
      <c r="G1183" t="s">
        <v>196</v>
      </c>
      <c r="H1183" t="s">
        <v>20</v>
      </c>
      <c r="I1183">
        <v>1512</v>
      </c>
      <c r="J1183" t="s">
        <v>21</v>
      </c>
      <c r="K1183">
        <v>6</v>
      </c>
      <c r="M1183">
        <v>1428</v>
      </c>
    </row>
    <row r="1184" spans="1:13">
      <c r="A1184">
        <v>1178</v>
      </c>
      <c r="B1184">
        <v>96426</v>
      </c>
      <c r="C1184" t="s">
        <v>2811</v>
      </c>
      <c r="D1184" t="s">
        <v>109</v>
      </c>
      <c r="E1184" t="s">
        <v>2812</v>
      </c>
      <c r="F1184" t="str">
        <f>"201604002202"</f>
        <v>201604002202</v>
      </c>
      <c r="G1184" t="s">
        <v>737</v>
      </c>
      <c r="H1184" t="s">
        <v>738</v>
      </c>
      <c r="I1184">
        <v>1645</v>
      </c>
      <c r="J1184" t="s">
        <v>21</v>
      </c>
      <c r="K1184">
        <v>6</v>
      </c>
      <c r="M1184">
        <v>1138</v>
      </c>
    </row>
    <row r="1185" spans="1:13">
      <c r="A1185">
        <v>1179</v>
      </c>
      <c r="B1185">
        <v>111866</v>
      </c>
      <c r="C1185" t="s">
        <v>2813</v>
      </c>
      <c r="D1185" t="s">
        <v>121</v>
      </c>
      <c r="E1185" t="s">
        <v>2814</v>
      </c>
      <c r="F1185" t="str">
        <f>"00421745"</f>
        <v>00421745</v>
      </c>
      <c r="G1185" t="s">
        <v>892</v>
      </c>
      <c r="H1185" t="s">
        <v>20</v>
      </c>
      <c r="I1185">
        <v>1410</v>
      </c>
      <c r="J1185" t="s">
        <v>21</v>
      </c>
      <c r="K1185">
        <v>0</v>
      </c>
      <c r="L1185" t="s">
        <v>35</v>
      </c>
      <c r="M1185">
        <v>908</v>
      </c>
    </row>
    <row r="1186" spans="1:13">
      <c r="A1186">
        <v>1180</v>
      </c>
      <c r="B1186">
        <v>116553</v>
      </c>
      <c r="C1186" t="s">
        <v>2815</v>
      </c>
      <c r="D1186" t="s">
        <v>80</v>
      </c>
      <c r="E1186" t="s">
        <v>2816</v>
      </c>
      <c r="F1186" t="str">
        <f>"00072878"</f>
        <v>00072878</v>
      </c>
      <c r="G1186" t="s">
        <v>2817</v>
      </c>
      <c r="H1186" t="s">
        <v>20</v>
      </c>
      <c r="I1186">
        <v>1493</v>
      </c>
      <c r="J1186" t="s">
        <v>21</v>
      </c>
      <c r="K1186">
        <v>0</v>
      </c>
      <c r="M1186">
        <v>1388</v>
      </c>
    </row>
    <row r="1187" spans="1:13">
      <c r="A1187">
        <v>1181</v>
      </c>
      <c r="B1187">
        <v>81932</v>
      </c>
      <c r="C1187" t="s">
        <v>2818</v>
      </c>
      <c r="D1187" t="s">
        <v>153</v>
      </c>
      <c r="E1187" t="s">
        <v>2819</v>
      </c>
      <c r="F1187" t="str">
        <f>"00261676"</f>
        <v>00261676</v>
      </c>
      <c r="G1187" t="s">
        <v>211</v>
      </c>
      <c r="H1187" t="s">
        <v>2148</v>
      </c>
      <c r="I1187">
        <v>1600</v>
      </c>
      <c r="J1187" t="s">
        <v>21</v>
      </c>
      <c r="K1187">
        <v>0</v>
      </c>
      <c r="M1187">
        <v>1688</v>
      </c>
    </row>
    <row r="1188" spans="1:13">
      <c r="A1188">
        <v>1182</v>
      </c>
      <c r="B1188">
        <v>87261</v>
      </c>
      <c r="C1188" t="s">
        <v>2820</v>
      </c>
      <c r="D1188" t="s">
        <v>90</v>
      </c>
      <c r="E1188" t="s">
        <v>2821</v>
      </c>
      <c r="F1188" t="str">
        <f>"00385693"</f>
        <v>00385693</v>
      </c>
      <c r="G1188" t="s">
        <v>2440</v>
      </c>
      <c r="H1188" t="s">
        <v>20</v>
      </c>
      <c r="I1188">
        <v>1567</v>
      </c>
      <c r="J1188" t="s">
        <v>21</v>
      </c>
      <c r="K1188">
        <v>0</v>
      </c>
      <c r="L1188" t="s">
        <v>59</v>
      </c>
      <c r="M1188">
        <v>1340</v>
      </c>
    </row>
    <row r="1189" spans="1:13">
      <c r="A1189">
        <v>1183</v>
      </c>
      <c r="B1189">
        <v>114737</v>
      </c>
      <c r="C1189" t="s">
        <v>2822</v>
      </c>
      <c r="D1189" t="s">
        <v>2823</v>
      </c>
      <c r="E1189" t="s">
        <v>2824</v>
      </c>
      <c r="F1189" t="str">
        <f>"00409803"</f>
        <v>00409803</v>
      </c>
      <c r="G1189" t="s">
        <v>211</v>
      </c>
      <c r="H1189" t="s">
        <v>48</v>
      </c>
      <c r="I1189">
        <v>1628</v>
      </c>
      <c r="J1189" t="s">
        <v>21</v>
      </c>
      <c r="K1189">
        <v>0</v>
      </c>
      <c r="L1189" t="s">
        <v>35</v>
      </c>
      <c r="M1189">
        <v>850</v>
      </c>
    </row>
    <row r="1190" spans="1:13">
      <c r="A1190">
        <v>1184</v>
      </c>
      <c r="B1190">
        <v>94427</v>
      </c>
      <c r="C1190" t="s">
        <v>2825</v>
      </c>
      <c r="D1190" t="s">
        <v>76</v>
      </c>
      <c r="E1190" t="s">
        <v>2826</v>
      </c>
      <c r="F1190" t="str">
        <f>"00382264"</f>
        <v>00382264</v>
      </c>
      <c r="G1190" t="s">
        <v>150</v>
      </c>
      <c r="H1190" t="s">
        <v>151</v>
      </c>
      <c r="I1190">
        <v>1699</v>
      </c>
      <c r="J1190" t="s">
        <v>21</v>
      </c>
      <c r="K1190">
        <v>0</v>
      </c>
      <c r="L1190" t="s">
        <v>35</v>
      </c>
      <c r="M1190">
        <v>872</v>
      </c>
    </row>
    <row r="1191" spans="1:13">
      <c r="A1191">
        <v>1185</v>
      </c>
      <c r="B1191">
        <v>82917</v>
      </c>
      <c r="C1191" t="s">
        <v>2827</v>
      </c>
      <c r="D1191" t="s">
        <v>243</v>
      </c>
      <c r="E1191" t="s">
        <v>2828</v>
      </c>
      <c r="F1191" t="str">
        <f>"00408689"</f>
        <v>00408689</v>
      </c>
      <c r="G1191" t="s">
        <v>87</v>
      </c>
      <c r="H1191" t="s">
        <v>20</v>
      </c>
      <c r="I1191">
        <v>1436</v>
      </c>
      <c r="J1191" t="s">
        <v>21</v>
      </c>
      <c r="K1191">
        <v>0</v>
      </c>
      <c r="L1191" t="s">
        <v>35</v>
      </c>
      <c r="M1191">
        <v>875</v>
      </c>
    </row>
    <row r="1192" spans="1:13">
      <c r="A1192">
        <v>1186</v>
      </c>
      <c r="B1192">
        <v>64665</v>
      </c>
      <c r="C1192" t="s">
        <v>2829</v>
      </c>
      <c r="D1192" t="s">
        <v>80</v>
      </c>
      <c r="E1192" t="s">
        <v>2830</v>
      </c>
      <c r="F1192" t="str">
        <f>"00270196"</f>
        <v>00270196</v>
      </c>
      <c r="G1192" t="s">
        <v>107</v>
      </c>
      <c r="H1192" t="s">
        <v>20</v>
      </c>
      <c r="I1192">
        <v>1472</v>
      </c>
      <c r="J1192" t="s">
        <v>21</v>
      </c>
      <c r="K1192">
        <v>0</v>
      </c>
      <c r="L1192" t="s">
        <v>35</v>
      </c>
      <c r="M1192">
        <v>908</v>
      </c>
    </row>
    <row r="1193" spans="1:13">
      <c r="A1193">
        <v>1187</v>
      </c>
      <c r="B1193">
        <v>54392</v>
      </c>
      <c r="C1193" t="s">
        <v>2831</v>
      </c>
      <c r="D1193" t="s">
        <v>180</v>
      </c>
      <c r="E1193" t="s">
        <v>2832</v>
      </c>
      <c r="F1193" t="str">
        <f>"00263261"</f>
        <v>00263261</v>
      </c>
      <c r="G1193" t="s">
        <v>610</v>
      </c>
      <c r="H1193" t="s">
        <v>20</v>
      </c>
      <c r="I1193">
        <v>1429</v>
      </c>
      <c r="J1193" t="s">
        <v>21</v>
      </c>
      <c r="K1193">
        <v>0</v>
      </c>
      <c r="L1193" t="s">
        <v>112</v>
      </c>
      <c r="M1193">
        <v>836</v>
      </c>
    </row>
    <row r="1194" spans="1:13">
      <c r="A1194">
        <v>1188</v>
      </c>
      <c r="B1194">
        <v>61074</v>
      </c>
      <c r="C1194" t="s">
        <v>2833</v>
      </c>
      <c r="D1194" t="s">
        <v>109</v>
      </c>
      <c r="E1194" t="s">
        <v>2834</v>
      </c>
      <c r="F1194" t="str">
        <f>"00253170"</f>
        <v>00253170</v>
      </c>
      <c r="G1194" t="s">
        <v>2835</v>
      </c>
      <c r="H1194" t="s">
        <v>366</v>
      </c>
      <c r="I1194">
        <v>1696</v>
      </c>
      <c r="J1194" t="s">
        <v>21</v>
      </c>
      <c r="K1194">
        <v>6</v>
      </c>
      <c r="M1194">
        <v>1308</v>
      </c>
    </row>
    <row r="1195" spans="1:13">
      <c r="A1195">
        <v>1189</v>
      </c>
      <c r="B1195">
        <v>50941</v>
      </c>
      <c r="C1195" t="s">
        <v>2836</v>
      </c>
      <c r="D1195" t="s">
        <v>163</v>
      </c>
      <c r="E1195" t="s">
        <v>2837</v>
      </c>
      <c r="F1195" t="str">
        <f>"00351795"</f>
        <v>00351795</v>
      </c>
      <c r="G1195" t="s">
        <v>96</v>
      </c>
      <c r="H1195" t="s">
        <v>20</v>
      </c>
      <c r="I1195">
        <v>1474</v>
      </c>
      <c r="J1195" t="s">
        <v>21</v>
      </c>
      <c r="K1195">
        <v>0</v>
      </c>
      <c r="L1195" t="s">
        <v>35</v>
      </c>
      <c r="M1195">
        <v>983</v>
      </c>
    </row>
    <row r="1196" spans="1:13">
      <c r="A1196">
        <v>1190</v>
      </c>
      <c r="B1196">
        <v>97008</v>
      </c>
      <c r="C1196" t="s">
        <v>2838</v>
      </c>
      <c r="D1196" t="s">
        <v>391</v>
      </c>
      <c r="E1196" t="s">
        <v>2839</v>
      </c>
      <c r="F1196" t="str">
        <f>"00046963"</f>
        <v>00046963</v>
      </c>
      <c r="G1196" t="s">
        <v>147</v>
      </c>
      <c r="H1196" t="s">
        <v>20</v>
      </c>
      <c r="I1196">
        <v>1529</v>
      </c>
      <c r="J1196" t="s">
        <v>21</v>
      </c>
      <c r="K1196">
        <v>0</v>
      </c>
      <c r="L1196" t="s">
        <v>35</v>
      </c>
      <c r="M1196">
        <v>908</v>
      </c>
    </row>
    <row r="1197" spans="1:13">
      <c r="A1197">
        <v>1191</v>
      </c>
      <c r="B1197">
        <v>101366</v>
      </c>
      <c r="C1197" t="s">
        <v>2840</v>
      </c>
      <c r="D1197" t="s">
        <v>2841</v>
      </c>
      <c r="E1197" t="s">
        <v>2842</v>
      </c>
      <c r="F1197" t="str">
        <f>"00318199"</f>
        <v>00318199</v>
      </c>
      <c r="G1197" t="s">
        <v>1165</v>
      </c>
      <c r="H1197" t="s">
        <v>20</v>
      </c>
      <c r="I1197">
        <v>1422</v>
      </c>
      <c r="J1197" t="s">
        <v>21</v>
      </c>
      <c r="K1197">
        <v>0</v>
      </c>
      <c r="L1197" t="s">
        <v>35</v>
      </c>
      <c r="M1197">
        <v>1175</v>
      </c>
    </row>
    <row r="1198" spans="1:13">
      <c r="A1198">
        <v>1192</v>
      </c>
      <c r="B1198">
        <v>60937</v>
      </c>
      <c r="C1198" t="s">
        <v>2843</v>
      </c>
      <c r="D1198" t="s">
        <v>145</v>
      </c>
      <c r="E1198" t="s">
        <v>2844</v>
      </c>
      <c r="F1198" t="str">
        <f>"00363166"</f>
        <v>00363166</v>
      </c>
      <c r="G1198" t="s">
        <v>713</v>
      </c>
      <c r="H1198" t="s">
        <v>366</v>
      </c>
      <c r="I1198">
        <v>1690</v>
      </c>
      <c r="J1198" t="s">
        <v>21</v>
      </c>
      <c r="K1198">
        <v>0</v>
      </c>
      <c r="L1198" t="s">
        <v>35</v>
      </c>
      <c r="M1198">
        <v>1275</v>
      </c>
    </row>
    <row r="1199" spans="1:13">
      <c r="A1199">
        <v>1193</v>
      </c>
      <c r="B1199">
        <v>91582</v>
      </c>
      <c r="C1199" t="s">
        <v>2845</v>
      </c>
      <c r="D1199" t="s">
        <v>1232</v>
      </c>
      <c r="E1199" t="s">
        <v>2846</v>
      </c>
      <c r="F1199" t="str">
        <f>"00403127"</f>
        <v>00403127</v>
      </c>
      <c r="G1199" t="s">
        <v>1984</v>
      </c>
      <c r="H1199" t="s">
        <v>274</v>
      </c>
      <c r="I1199">
        <v>1400</v>
      </c>
      <c r="J1199" t="s">
        <v>21</v>
      </c>
      <c r="K1199">
        <v>0</v>
      </c>
      <c r="M1199">
        <v>1438</v>
      </c>
    </row>
    <row r="1200" spans="1:13">
      <c r="A1200">
        <v>1194</v>
      </c>
      <c r="B1200">
        <v>107186</v>
      </c>
      <c r="C1200" t="s">
        <v>2847</v>
      </c>
      <c r="D1200" t="s">
        <v>121</v>
      </c>
      <c r="E1200" t="s">
        <v>2848</v>
      </c>
      <c r="F1200" t="str">
        <f>"00384668"</f>
        <v>00384668</v>
      </c>
      <c r="G1200" t="s">
        <v>125</v>
      </c>
      <c r="H1200" t="s">
        <v>20</v>
      </c>
      <c r="I1200">
        <v>1507</v>
      </c>
      <c r="J1200" t="s">
        <v>21</v>
      </c>
      <c r="K1200">
        <v>0</v>
      </c>
      <c r="L1200" t="s">
        <v>88</v>
      </c>
      <c r="M1200">
        <v>675</v>
      </c>
    </row>
    <row r="1201" spans="1:13">
      <c r="A1201">
        <v>1195</v>
      </c>
      <c r="B1201">
        <v>89035</v>
      </c>
      <c r="C1201" t="s">
        <v>2849</v>
      </c>
      <c r="D1201" t="s">
        <v>180</v>
      </c>
      <c r="E1201" t="s">
        <v>2850</v>
      </c>
      <c r="F1201" t="str">
        <f>"201511016829"</f>
        <v>201511016829</v>
      </c>
      <c r="G1201" t="s">
        <v>2851</v>
      </c>
      <c r="H1201" t="s">
        <v>2852</v>
      </c>
      <c r="I1201">
        <v>1677</v>
      </c>
      <c r="J1201" t="s">
        <v>21</v>
      </c>
      <c r="K1201">
        <v>0</v>
      </c>
      <c r="M1201">
        <v>1878</v>
      </c>
    </row>
    <row r="1202" spans="1:13">
      <c r="A1202">
        <v>1196</v>
      </c>
      <c r="B1202">
        <v>50361</v>
      </c>
      <c r="C1202" t="s">
        <v>2853</v>
      </c>
      <c r="D1202" t="s">
        <v>163</v>
      </c>
      <c r="E1202" t="s">
        <v>2854</v>
      </c>
      <c r="F1202" t="str">
        <f>"201511007268"</f>
        <v>201511007268</v>
      </c>
      <c r="G1202" t="s">
        <v>2855</v>
      </c>
      <c r="H1202" t="s">
        <v>20</v>
      </c>
      <c r="I1202">
        <v>1561</v>
      </c>
      <c r="J1202" t="s">
        <v>21</v>
      </c>
      <c r="K1202">
        <v>6</v>
      </c>
      <c r="L1202" t="s">
        <v>59</v>
      </c>
      <c r="M1202">
        <v>848</v>
      </c>
    </row>
    <row r="1203" spans="1:13">
      <c r="A1203">
        <v>1197</v>
      </c>
      <c r="B1203">
        <v>73290</v>
      </c>
      <c r="C1203" t="s">
        <v>2856</v>
      </c>
      <c r="D1203" t="s">
        <v>80</v>
      </c>
      <c r="E1203" t="s">
        <v>2857</v>
      </c>
      <c r="F1203" t="str">
        <f>"201401000401"</f>
        <v>201401000401</v>
      </c>
      <c r="G1203" t="s">
        <v>892</v>
      </c>
      <c r="H1203" t="s">
        <v>20</v>
      </c>
      <c r="I1203">
        <v>1410</v>
      </c>
      <c r="J1203" t="s">
        <v>21</v>
      </c>
      <c r="K1203">
        <v>0</v>
      </c>
      <c r="M1203">
        <v>1428</v>
      </c>
    </row>
    <row r="1204" spans="1:13">
      <c r="A1204">
        <v>1198</v>
      </c>
      <c r="B1204">
        <v>114354</v>
      </c>
      <c r="C1204" t="s">
        <v>2858</v>
      </c>
      <c r="D1204" t="s">
        <v>905</v>
      </c>
      <c r="E1204" t="s">
        <v>2859</v>
      </c>
      <c r="F1204" t="str">
        <f>"00408858"</f>
        <v>00408858</v>
      </c>
      <c r="G1204" t="s">
        <v>19</v>
      </c>
      <c r="H1204" t="s">
        <v>20</v>
      </c>
      <c r="I1204">
        <v>1531</v>
      </c>
      <c r="J1204" t="s">
        <v>21</v>
      </c>
      <c r="K1204">
        <v>0</v>
      </c>
      <c r="L1204" t="s">
        <v>35</v>
      </c>
      <c r="M1204">
        <v>908</v>
      </c>
    </row>
    <row r="1205" spans="1:13">
      <c r="A1205">
        <v>1199</v>
      </c>
      <c r="B1205">
        <v>59096</v>
      </c>
      <c r="C1205" t="s">
        <v>2860</v>
      </c>
      <c r="D1205" t="s">
        <v>94</v>
      </c>
      <c r="E1205" t="s">
        <v>2861</v>
      </c>
      <c r="F1205" t="str">
        <f>"201302000046"</f>
        <v>201302000046</v>
      </c>
      <c r="G1205" t="s">
        <v>215</v>
      </c>
      <c r="H1205" t="s">
        <v>216</v>
      </c>
      <c r="I1205">
        <v>1708</v>
      </c>
      <c r="J1205" t="s">
        <v>21</v>
      </c>
      <c r="K1205">
        <v>6</v>
      </c>
      <c r="L1205" t="s">
        <v>88</v>
      </c>
      <c r="M1205">
        <v>400</v>
      </c>
    </row>
    <row r="1206" spans="1:13">
      <c r="A1206">
        <v>1200</v>
      </c>
      <c r="B1206">
        <v>64405</v>
      </c>
      <c r="C1206" t="s">
        <v>2862</v>
      </c>
      <c r="D1206" t="s">
        <v>80</v>
      </c>
      <c r="E1206" t="s">
        <v>2863</v>
      </c>
      <c r="F1206" t="str">
        <f>"00268252"</f>
        <v>00268252</v>
      </c>
      <c r="G1206" t="s">
        <v>724</v>
      </c>
      <c r="H1206" t="s">
        <v>2864</v>
      </c>
      <c r="I1206">
        <v>1345</v>
      </c>
      <c r="J1206" t="s">
        <v>21</v>
      </c>
      <c r="K1206">
        <v>0</v>
      </c>
      <c r="M1206">
        <v>1408</v>
      </c>
    </row>
    <row r="1207" spans="1:13">
      <c r="A1207">
        <v>1201</v>
      </c>
      <c r="B1207">
        <v>53349</v>
      </c>
      <c r="C1207" t="s">
        <v>2865</v>
      </c>
      <c r="D1207" t="s">
        <v>700</v>
      </c>
      <c r="E1207" t="s">
        <v>2866</v>
      </c>
      <c r="F1207" t="str">
        <f>"00235778"</f>
        <v>00235778</v>
      </c>
      <c r="G1207" t="s">
        <v>233</v>
      </c>
      <c r="H1207" t="s">
        <v>234</v>
      </c>
      <c r="I1207">
        <v>1339</v>
      </c>
      <c r="J1207" t="s">
        <v>21</v>
      </c>
      <c r="K1207">
        <v>6</v>
      </c>
      <c r="L1207" t="s">
        <v>35</v>
      </c>
      <c r="M1207">
        <v>708</v>
      </c>
    </row>
    <row r="1208" spans="1:13">
      <c r="A1208">
        <v>1202</v>
      </c>
      <c r="B1208">
        <v>64550</v>
      </c>
      <c r="C1208" t="s">
        <v>2867</v>
      </c>
      <c r="D1208" t="s">
        <v>700</v>
      </c>
      <c r="E1208" t="s">
        <v>2868</v>
      </c>
      <c r="F1208" t="str">
        <f>"00355118"</f>
        <v>00355118</v>
      </c>
      <c r="G1208" t="s">
        <v>233</v>
      </c>
      <c r="H1208" t="s">
        <v>234</v>
      </c>
      <c r="I1208">
        <v>1339</v>
      </c>
      <c r="J1208" t="s">
        <v>21</v>
      </c>
      <c r="K1208">
        <v>6</v>
      </c>
      <c r="L1208" t="s">
        <v>35</v>
      </c>
      <c r="M1208">
        <v>783</v>
      </c>
    </row>
    <row r="1209" spans="1:13">
      <c r="A1209">
        <v>1203</v>
      </c>
      <c r="B1209">
        <v>75826</v>
      </c>
      <c r="C1209" t="s">
        <v>2869</v>
      </c>
      <c r="D1209" t="s">
        <v>243</v>
      </c>
      <c r="E1209" t="s">
        <v>2870</v>
      </c>
      <c r="F1209" t="str">
        <f>"201511020769"</f>
        <v>201511020769</v>
      </c>
      <c r="G1209" t="s">
        <v>87</v>
      </c>
      <c r="H1209" t="s">
        <v>20</v>
      </c>
      <c r="I1209">
        <v>1436</v>
      </c>
      <c r="J1209" t="s">
        <v>21</v>
      </c>
      <c r="K1209">
        <v>0</v>
      </c>
      <c r="L1209" t="s">
        <v>35</v>
      </c>
      <c r="M1209">
        <v>858</v>
      </c>
    </row>
    <row r="1210" spans="1:13">
      <c r="A1210">
        <v>1204</v>
      </c>
      <c r="B1210">
        <v>86210</v>
      </c>
      <c r="C1210" t="s">
        <v>2871</v>
      </c>
      <c r="D1210" t="s">
        <v>121</v>
      </c>
      <c r="E1210" t="s">
        <v>2872</v>
      </c>
      <c r="F1210" t="str">
        <f>"00310566"</f>
        <v>00310566</v>
      </c>
      <c r="G1210" t="s">
        <v>245</v>
      </c>
      <c r="H1210" t="s">
        <v>20</v>
      </c>
      <c r="I1210">
        <v>1406</v>
      </c>
      <c r="J1210" t="s">
        <v>21</v>
      </c>
      <c r="K1210">
        <v>0</v>
      </c>
      <c r="L1210" t="s">
        <v>83</v>
      </c>
      <c r="M1210">
        <v>1288</v>
      </c>
    </row>
    <row r="1211" spans="1:13">
      <c r="A1211">
        <v>1205</v>
      </c>
      <c r="B1211">
        <v>98397</v>
      </c>
      <c r="C1211" t="s">
        <v>2873</v>
      </c>
      <c r="D1211" t="s">
        <v>80</v>
      </c>
      <c r="E1211" t="s">
        <v>2874</v>
      </c>
      <c r="F1211" t="str">
        <f>"00042262"</f>
        <v>00042262</v>
      </c>
      <c r="G1211" t="s">
        <v>92</v>
      </c>
      <c r="H1211" t="s">
        <v>20</v>
      </c>
      <c r="I1211">
        <v>1425</v>
      </c>
      <c r="J1211" t="s">
        <v>21</v>
      </c>
      <c r="K1211">
        <v>0</v>
      </c>
      <c r="L1211" t="s">
        <v>35</v>
      </c>
      <c r="M1211">
        <v>1185</v>
      </c>
    </row>
    <row r="1212" spans="1:13">
      <c r="A1212">
        <v>1206</v>
      </c>
      <c r="B1212">
        <v>94725</v>
      </c>
      <c r="C1212" t="s">
        <v>2875</v>
      </c>
      <c r="D1212" t="s">
        <v>145</v>
      </c>
      <c r="E1212" t="s">
        <v>2876</v>
      </c>
      <c r="F1212" t="str">
        <f>"00388393"</f>
        <v>00388393</v>
      </c>
      <c r="G1212" t="s">
        <v>387</v>
      </c>
      <c r="H1212" t="s">
        <v>234</v>
      </c>
      <c r="I1212">
        <v>1340</v>
      </c>
      <c r="J1212" t="s">
        <v>21</v>
      </c>
      <c r="K1212">
        <v>0</v>
      </c>
      <c r="L1212" t="s">
        <v>35</v>
      </c>
      <c r="M1212">
        <v>1508</v>
      </c>
    </row>
    <row r="1213" spans="1:13">
      <c r="A1213">
        <v>1207</v>
      </c>
      <c r="B1213">
        <v>70679</v>
      </c>
      <c r="C1213" t="s">
        <v>2877</v>
      </c>
      <c r="D1213" t="s">
        <v>105</v>
      </c>
      <c r="E1213" t="s">
        <v>2878</v>
      </c>
      <c r="F1213" t="str">
        <f>"00029506"</f>
        <v>00029506</v>
      </c>
      <c r="G1213" t="s">
        <v>150</v>
      </c>
      <c r="H1213" t="s">
        <v>151</v>
      </c>
      <c r="I1213">
        <v>1699</v>
      </c>
      <c r="J1213" t="s">
        <v>21</v>
      </c>
      <c r="K1213">
        <v>0</v>
      </c>
      <c r="M1213">
        <v>1361</v>
      </c>
    </row>
    <row r="1214" spans="1:13">
      <c r="A1214">
        <v>1208</v>
      </c>
      <c r="B1214">
        <v>113568</v>
      </c>
      <c r="C1214" t="s">
        <v>2879</v>
      </c>
      <c r="D1214" t="s">
        <v>121</v>
      </c>
      <c r="E1214" t="s">
        <v>2880</v>
      </c>
      <c r="F1214" t="str">
        <f>"00176261"</f>
        <v>00176261</v>
      </c>
      <c r="G1214" t="s">
        <v>47</v>
      </c>
      <c r="H1214" t="s">
        <v>48</v>
      </c>
      <c r="I1214">
        <v>1623</v>
      </c>
      <c r="J1214" t="s">
        <v>21</v>
      </c>
      <c r="K1214">
        <v>0</v>
      </c>
      <c r="L1214" t="s">
        <v>112</v>
      </c>
      <c r="M1214">
        <v>775</v>
      </c>
    </row>
    <row r="1215" spans="1:13">
      <c r="A1215">
        <v>1209</v>
      </c>
      <c r="B1215">
        <v>84512</v>
      </c>
      <c r="C1215" t="s">
        <v>2881</v>
      </c>
      <c r="D1215" t="s">
        <v>2882</v>
      </c>
      <c r="E1215" t="s">
        <v>2883</v>
      </c>
      <c r="F1215" t="str">
        <f>"00395335"</f>
        <v>00395335</v>
      </c>
      <c r="G1215" t="s">
        <v>488</v>
      </c>
      <c r="H1215" t="s">
        <v>20</v>
      </c>
      <c r="I1215">
        <v>1482</v>
      </c>
      <c r="J1215" t="s">
        <v>21</v>
      </c>
      <c r="K1215">
        <v>0</v>
      </c>
      <c r="L1215" t="s">
        <v>2884</v>
      </c>
      <c r="M1215">
        <v>800</v>
      </c>
    </row>
    <row r="1216" spans="1:13">
      <c r="A1216">
        <v>1210</v>
      </c>
      <c r="B1216">
        <v>58419</v>
      </c>
      <c r="C1216" t="s">
        <v>2885</v>
      </c>
      <c r="D1216" t="s">
        <v>163</v>
      </c>
      <c r="E1216" t="s">
        <v>2886</v>
      </c>
      <c r="F1216" t="str">
        <f>"00355769"</f>
        <v>00355769</v>
      </c>
      <c r="G1216" t="s">
        <v>1005</v>
      </c>
      <c r="H1216" t="s">
        <v>2647</v>
      </c>
      <c r="I1216">
        <v>1687</v>
      </c>
      <c r="J1216" t="s">
        <v>21</v>
      </c>
      <c r="K1216">
        <v>6</v>
      </c>
      <c r="M1216">
        <v>1331</v>
      </c>
    </row>
    <row r="1217" spans="1:13">
      <c r="A1217">
        <v>1211</v>
      </c>
      <c r="B1217">
        <v>77784</v>
      </c>
      <c r="C1217" t="s">
        <v>2887</v>
      </c>
      <c r="D1217" t="s">
        <v>2888</v>
      </c>
      <c r="E1217" t="s">
        <v>2889</v>
      </c>
      <c r="F1217" t="str">
        <f>"00378439"</f>
        <v>00378439</v>
      </c>
      <c r="G1217" t="s">
        <v>87</v>
      </c>
      <c r="H1217" t="s">
        <v>20</v>
      </c>
      <c r="I1217">
        <v>1436</v>
      </c>
      <c r="J1217" t="s">
        <v>21</v>
      </c>
      <c r="K1217">
        <v>0</v>
      </c>
      <c r="L1217" t="s">
        <v>88</v>
      </c>
      <c r="M1217">
        <v>550</v>
      </c>
    </row>
    <row r="1218" spans="1:13">
      <c r="A1218">
        <v>1212</v>
      </c>
      <c r="B1218">
        <v>77760</v>
      </c>
      <c r="C1218" t="s">
        <v>2890</v>
      </c>
      <c r="D1218" t="s">
        <v>105</v>
      </c>
      <c r="E1218" t="s">
        <v>2891</v>
      </c>
      <c r="F1218" t="str">
        <f>"00196987"</f>
        <v>00196987</v>
      </c>
      <c r="G1218" t="s">
        <v>817</v>
      </c>
      <c r="H1218" t="s">
        <v>234</v>
      </c>
      <c r="I1218">
        <v>1326</v>
      </c>
      <c r="J1218" t="s">
        <v>21</v>
      </c>
      <c r="K1218">
        <v>7</v>
      </c>
      <c r="M1218">
        <v>1688</v>
      </c>
    </row>
    <row r="1219" spans="1:13">
      <c r="A1219">
        <v>1213</v>
      </c>
      <c r="B1219">
        <v>86246</v>
      </c>
      <c r="C1219" t="s">
        <v>2892</v>
      </c>
      <c r="D1219" t="s">
        <v>2893</v>
      </c>
      <c r="E1219" t="s">
        <v>2894</v>
      </c>
      <c r="F1219" t="str">
        <f>"00392823"</f>
        <v>00392823</v>
      </c>
      <c r="G1219" t="s">
        <v>2465</v>
      </c>
      <c r="H1219" t="s">
        <v>20</v>
      </c>
      <c r="I1219">
        <v>1458</v>
      </c>
      <c r="J1219" t="s">
        <v>21</v>
      </c>
      <c r="K1219">
        <v>0</v>
      </c>
      <c r="M1219">
        <v>1838</v>
      </c>
    </row>
    <row r="1220" spans="1:13">
      <c r="A1220">
        <v>1214</v>
      </c>
      <c r="B1220">
        <v>80950</v>
      </c>
      <c r="C1220" t="s">
        <v>2895</v>
      </c>
      <c r="D1220" t="s">
        <v>145</v>
      </c>
      <c r="E1220" t="s">
        <v>2896</v>
      </c>
      <c r="F1220" t="str">
        <f>"00372898"</f>
        <v>00372898</v>
      </c>
      <c r="G1220" t="s">
        <v>47</v>
      </c>
      <c r="H1220" t="s">
        <v>48</v>
      </c>
      <c r="I1220">
        <v>1623</v>
      </c>
      <c r="J1220" t="s">
        <v>21</v>
      </c>
      <c r="K1220">
        <v>0</v>
      </c>
      <c r="L1220" t="s">
        <v>35</v>
      </c>
      <c r="M1220">
        <v>900</v>
      </c>
    </row>
    <row r="1221" spans="1:13">
      <c r="A1221">
        <v>1215</v>
      </c>
      <c r="B1221">
        <v>63838</v>
      </c>
      <c r="C1221" t="s">
        <v>2897</v>
      </c>
      <c r="D1221" t="s">
        <v>316</v>
      </c>
      <c r="E1221" t="s">
        <v>2898</v>
      </c>
      <c r="F1221" t="str">
        <f>"00355449"</f>
        <v>00355449</v>
      </c>
      <c r="G1221" t="s">
        <v>92</v>
      </c>
      <c r="H1221" t="s">
        <v>20</v>
      </c>
      <c r="I1221">
        <v>1425</v>
      </c>
      <c r="J1221" t="s">
        <v>21</v>
      </c>
      <c r="K1221">
        <v>0</v>
      </c>
      <c r="L1221" t="s">
        <v>35</v>
      </c>
      <c r="M1221">
        <v>1384</v>
      </c>
    </row>
    <row r="1222" spans="1:13">
      <c r="A1222">
        <v>1216</v>
      </c>
      <c r="B1222">
        <v>68285</v>
      </c>
      <c r="C1222" t="s">
        <v>2899</v>
      </c>
      <c r="D1222" t="s">
        <v>180</v>
      </c>
      <c r="E1222" t="s">
        <v>2900</v>
      </c>
      <c r="F1222" t="str">
        <f>"00382054"</f>
        <v>00382054</v>
      </c>
      <c r="G1222" t="s">
        <v>395</v>
      </c>
      <c r="H1222" t="s">
        <v>234</v>
      </c>
      <c r="I1222">
        <v>1336</v>
      </c>
      <c r="J1222" t="s">
        <v>21</v>
      </c>
      <c r="K1222">
        <v>0</v>
      </c>
      <c r="M1222">
        <v>1398</v>
      </c>
    </row>
    <row r="1223" spans="1:13">
      <c r="A1223">
        <v>1217</v>
      </c>
      <c r="B1223">
        <v>61338</v>
      </c>
      <c r="C1223" t="s">
        <v>2901</v>
      </c>
      <c r="D1223" t="s">
        <v>80</v>
      </c>
      <c r="E1223" t="s">
        <v>2902</v>
      </c>
      <c r="F1223" t="str">
        <f>"00140963"</f>
        <v>00140963</v>
      </c>
      <c r="G1223" t="s">
        <v>82</v>
      </c>
      <c r="H1223" t="s">
        <v>20</v>
      </c>
      <c r="I1223">
        <v>1475</v>
      </c>
      <c r="J1223" t="s">
        <v>21</v>
      </c>
      <c r="K1223">
        <v>0</v>
      </c>
      <c r="L1223" t="s">
        <v>35</v>
      </c>
      <c r="M1223">
        <v>908</v>
      </c>
    </row>
    <row r="1224" spans="1:13">
      <c r="A1224">
        <v>1218</v>
      </c>
      <c r="B1224">
        <v>91547</v>
      </c>
      <c r="C1224" t="s">
        <v>2903</v>
      </c>
      <c r="D1224" t="s">
        <v>90</v>
      </c>
      <c r="E1224" t="s">
        <v>2904</v>
      </c>
      <c r="F1224" t="str">
        <f>"201511041840"</f>
        <v>201511041840</v>
      </c>
      <c r="G1224" t="s">
        <v>230</v>
      </c>
      <c r="H1224" t="s">
        <v>20</v>
      </c>
      <c r="I1224">
        <v>1545</v>
      </c>
      <c r="J1224" t="s">
        <v>21</v>
      </c>
      <c r="K1224">
        <v>0</v>
      </c>
      <c r="M1224">
        <v>1558</v>
      </c>
    </row>
    <row r="1225" spans="1:13">
      <c r="A1225">
        <v>1219</v>
      </c>
      <c r="B1225">
        <v>91253</v>
      </c>
      <c r="C1225" t="s">
        <v>2903</v>
      </c>
      <c r="D1225" t="s">
        <v>243</v>
      </c>
      <c r="E1225" t="s">
        <v>2905</v>
      </c>
      <c r="F1225" t="str">
        <f>"00399318"</f>
        <v>00399318</v>
      </c>
      <c r="G1225" t="s">
        <v>395</v>
      </c>
      <c r="H1225" t="s">
        <v>234</v>
      </c>
      <c r="I1225">
        <v>1336</v>
      </c>
      <c r="J1225" t="s">
        <v>21</v>
      </c>
      <c r="K1225">
        <v>0</v>
      </c>
      <c r="M1225">
        <v>1423</v>
      </c>
    </row>
    <row r="1226" spans="1:13">
      <c r="A1226">
        <v>1220</v>
      </c>
      <c r="B1226">
        <v>100829</v>
      </c>
      <c r="C1226" t="s">
        <v>2906</v>
      </c>
      <c r="D1226" t="s">
        <v>105</v>
      </c>
      <c r="E1226" t="s">
        <v>2907</v>
      </c>
      <c r="F1226" t="str">
        <f>"00400165"</f>
        <v>00400165</v>
      </c>
      <c r="G1226" t="s">
        <v>380</v>
      </c>
      <c r="H1226" t="s">
        <v>137</v>
      </c>
      <c r="I1226">
        <v>1615</v>
      </c>
      <c r="J1226" t="s">
        <v>21</v>
      </c>
      <c r="K1226">
        <v>0</v>
      </c>
      <c r="M1226">
        <v>1468</v>
      </c>
    </row>
    <row r="1227" spans="1:13">
      <c r="A1227">
        <v>1221</v>
      </c>
      <c r="B1227">
        <v>98789</v>
      </c>
      <c r="C1227" t="s">
        <v>2908</v>
      </c>
      <c r="D1227" t="s">
        <v>80</v>
      </c>
      <c r="E1227" t="s">
        <v>2909</v>
      </c>
      <c r="F1227" t="str">
        <f>"00274027"</f>
        <v>00274027</v>
      </c>
      <c r="G1227" t="s">
        <v>856</v>
      </c>
      <c r="H1227" t="s">
        <v>366</v>
      </c>
      <c r="I1227">
        <v>1706</v>
      </c>
      <c r="J1227" t="s">
        <v>21</v>
      </c>
      <c r="K1227">
        <v>0</v>
      </c>
      <c r="M1227">
        <v>1363</v>
      </c>
    </row>
    <row r="1228" spans="1:13">
      <c r="A1228">
        <v>1222</v>
      </c>
      <c r="B1228">
        <v>85856</v>
      </c>
      <c r="C1228" t="s">
        <v>2910</v>
      </c>
      <c r="D1228" t="s">
        <v>180</v>
      </c>
      <c r="E1228" t="s">
        <v>2911</v>
      </c>
      <c r="F1228" t="str">
        <f>"00081822"</f>
        <v>00081822</v>
      </c>
      <c r="G1228" t="s">
        <v>125</v>
      </c>
      <c r="H1228" t="s">
        <v>20</v>
      </c>
      <c r="I1228">
        <v>1507</v>
      </c>
      <c r="J1228" t="s">
        <v>21</v>
      </c>
      <c r="K1228">
        <v>0</v>
      </c>
      <c r="L1228" t="s">
        <v>35</v>
      </c>
      <c r="M1228">
        <v>985</v>
      </c>
    </row>
    <row r="1229" spans="1:13">
      <c r="A1229">
        <v>1223</v>
      </c>
      <c r="B1229">
        <v>70865</v>
      </c>
      <c r="C1229" t="s">
        <v>2912</v>
      </c>
      <c r="D1229" t="s">
        <v>76</v>
      </c>
      <c r="E1229" t="s">
        <v>2913</v>
      </c>
      <c r="F1229" t="str">
        <f>"00388531"</f>
        <v>00388531</v>
      </c>
      <c r="G1229" t="s">
        <v>107</v>
      </c>
      <c r="H1229" t="s">
        <v>20</v>
      </c>
      <c r="I1229">
        <v>1472</v>
      </c>
      <c r="J1229" t="s">
        <v>21</v>
      </c>
      <c r="K1229">
        <v>0</v>
      </c>
      <c r="L1229" t="s">
        <v>83</v>
      </c>
      <c r="M1229">
        <v>1228</v>
      </c>
    </row>
    <row r="1230" spans="1:13">
      <c r="A1230">
        <v>1224</v>
      </c>
      <c r="B1230">
        <v>64832</v>
      </c>
      <c r="C1230" t="s">
        <v>2914</v>
      </c>
      <c r="D1230" t="s">
        <v>153</v>
      </c>
      <c r="E1230" t="s">
        <v>2915</v>
      </c>
      <c r="F1230" t="str">
        <f>"201511013756"</f>
        <v>201511013756</v>
      </c>
      <c r="G1230" t="s">
        <v>107</v>
      </c>
      <c r="H1230" t="s">
        <v>20</v>
      </c>
      <c r="I1230">
        <v>1472</v>
      </c>
      <c r="J1230" t="s">
        <v>21</v>
      </c>
      <c r="K1230">
        <v>0</v>
      </c>
      <c r="L1230" t="s">
        <v>59</v>
      </c>
      <c r="M1230">
        <v>948</v>
      </c>
    </row>
    <row r="1231" spans="1:13">
      <c r="A1231">
        <v>1225</v>
      </c>
      <c r="B1231">
        <v>52827</v>
      </c>
      <c r="C1231" t="s">
        <v>2916</v>
      </c>
      <c r="D1231" t="s">
        <v>90</v>
      </c>
      <c r="E1231" t="s">
        <v>2917</v>
      </c>
      <c r="F1231" t="str">
        <f>"00273919"</f>
        <v>00273919</v>
      </c>
      <c r="G1231" t="s">
        <v>724</v>
      </c>
      <c r="H1231" t="s">
        <v>20</v>
      </c>
      <c r="I1231">
        <v>1411</v>
      </c>
      <c r="J1231" t="s">
        <v>21</v>
      </c>
      <c r="K1231">
        <v>0</v>
      </c>
      <c r="M1231">
        <v>1559</v>
      </c>
    </row>
    <row r="1232" spans="1:13">
      <c r="A1232">
        <v>1226</v>
      </c>
      <c r="B1232">
        <v>114666</v>
      </c>
      <c r="C1232" t="s">
        <v>2918</v>
      </c>
      <c r="D1232" t="s">
        <v>628</v>
      </c>
      <c r="E1232" t="s">
        <v>2919</v>
      </c>
      <c r="F1232" t="str">
        <f>"00339387"</f>
        <v>00339387</v>
      </c>
      <c r="G1232" t="s">
        <v>87</v>
      </c>
      <c r="H1232" t="s">
        <v>20</v>
      </c>
      <c r="I1232">
        <v>1436</v>
      </c>
      <c r="J1232" t="s">
        <v>21</v>
      </c>
      <c r="K1232">
        <v>0</v>
      </c>
      <c r="L1232" t="s">
        <v>83</v>
      </c>
      <c r="M1232">
        <v>1288</v>
      </c>
    </row>
    <row r="1233" spans="1:13">
      <c r="A1233">
        <v>1227</v>
      </c>
      <c r="B1233">
        <v>68852</v>
      </c>
      <c r="C1233" t="s">
        <v>2920</v>
      </c>
      <c r="D1233" t="s">
        <v>243</v>
      </c>
      <c r="E1233" t="s">
        <v>2921</v>
      </c>
      <c r="F1233" t="str">
        <f>"201511013250"</f>
        <v>201511013250</v>
      </c>
      <c r="G1233" t="s">
        <v>760</v>
      </c>
      <c r="H1233" t="s">
        <v>20</v>
      </c>
      <c r="I1233">
        <v>1432</v>
      </c>
      <c r="J1233" t="s">
        <v>21</v>
      </c>
      <c r="K1233">
        <v>0</v>
      </c>
      <c r="M1233">
        <v>1500</v>
      </c>
    </row>
    <row r="1234" spans="1:13">
      <c r="A1234">
        <v>1228</v>
      </c>
      <c r="B1234">
        <v>57661</v>
      </c>
      <c r="C1234" t="s">
        <v>2922</v>
      </c>
      <c r="D1234" t="s">
        <v>205</v>
      </c>
      <c r="E1234" t="s">
        <v>2923</v>
      </c>
      <c r="F1234" t="str">
        <f>"00289299"</f>
        <v>00289299</v>
      </c>
      <c r="G1234" t="s">
        <v>125</v>
      </c>
      <c r="H1234" t="s">
        <v>20</v>
      </c>
      <c r="I1234">
        <v>1507</v>
      </c>
      <c r="J1234" t="s">
        <v>21</v>
      </c>
      <c r="K1234">
        <v>0</v>
      </c>
      <c r="M1234">
        <v>1423</v>
      </c>
    </row>
    <row r="1235" spans="1:13">
      <c r="A1235">
        <v>1229</v>
      </c>
      <c r="B1235">
        <v>111176</v>
      </c>
      <c r="C1235" t="s">
        <v>2924</v>
      </c>
      <c r="D1235" t="s">
        <v>209</v>
      </c>
      <c r="E1235" t="s">
        <v>2925</v>
      </c>
      <c r="F1235" t="str">
        <f>"00411316"</f>
        <v>00411316</v>
      </c>
      <c r="G1235" t="s">
        <v>365</v>
      </c>
      <c r="H1235" t="s">
        <v>366</v>
      </c>
      <c r="I1235">
        <v>1692</v>
      </c>
      <c r="J1235" t="s">
        <v>21</v>
      </c>
      <c r="K1235">
        <v>0</v>
      </c>
      <c r="M1235">
        <v>1488</v>
      </c>
    </row>
    <row r="1236" spans="1:13">
      <c r="A1236">
        <v>1230</v>
      </c>
      <c r="B1236">
        <v>110091</v>
      </c>
      <c r="C1236" t="s">
        <v>2926</v>
      </c>
      <c r="D1236" t="s">
        <v>76</v>
      </c>
      <c r="E1236" t="s">
        <v>2927</v>
      </c>
      <c r="F1236" t="str">
        <f>"201511010316"</f>
        <v>201511010316</v>
      </c>
      <c r="G1236" t="s">
        <v>125</v>
      </c>
      <c r="H1236" t="s">
        <v>20</v>
      </c>
      <c r="I1236">
        <v>1507</v>
      </c>
      <c r="J1236" t="s">
        <v>21</v>
      </c>
      <c r="K1236">
        <v>0</v>
      </c>
      <c r="L1236" t="s">
        <v>88</v>
      </c>
      <c r="M1236">
        <v>775</v>
      </c>
    </row>
    <row r="1237" spans="1:13">
      <c r="A1237">
        <v>1231</v>
      </c>
      <c r="B1237">
        <v>58168</v>
      </c>
      <c r="C1237" t="s">
        <v>2928</v>
      </c>
      <c r="D1237" t="s">
        <v>2929</v>
      </c>
      <c r="E1237" t="s">
        <v>2930</v>
      </c>
      <c r="F1237" t="str">
        <f>"00194579"</f>
        <v>00194579</v>
      </c>
      <c r="G1237" t="s">
        <v>107</v>
      </c>
      <c r="H1237" t="s">
        <v>20</v>
      </c>
      <c r="I1237">
        <v>1472</v>
      </c>
      <c r="J1237" t="s">
        <v>21</v>
      </c>
      <c r="K1237">
        <v>0</v>
      </c>
      <c r="L1237" t="s">
        <v>88</v>
      </c>
      <c r="M1237">
        <v>585</v>
      </c>
    </row>
    <row r="1238" spans="1:13">
      <c r="A1238">
        <v>1232</v>
      </c>
      <c r="B1238">
        <v>97875</v>
      </c>
      <c r="C1238" t="s">
        <v>2931</v>
      </c>
      <c r="D1238" t="s">
        <v>213</v>
      </c>
      <c r="E1238" t="s">
        <v>2932</v>
      </c>
      <c r="F1238" t="str">
        <f>"00384492"</f>
        <v>00384492</v>
      </c>
      <c r="G1238" t="s">
        <v>1498</v>
      </c>
      <c r="H1238" t="s">
        <v>1499</v>
      </c>
      <c r="I1238">
        <v>1598</v>
      </c>
      <c r="J1238" t="s">
        <v>21</v>
      </c>
      <c r="K1238">
        <v>6</v>
      </c>
      <c r="M1238">
        <v>1328</v>
      </c>
    </row>
    <row r="1239" spans="1:13">
      <c r="A1239">
        <v>1233</v>
      </c>
      <c r="B1239">
        <v>59507</v>
      </c>
      <c r="C1239" t="s">
        <v>2933</v>
      </c>
      <c r="D1239" t="s">
        <v>105</v>
      </c>
      <c r="E1239" t="s">
        <v>2934</v>
      </c>
      <c r="F1239" t="str">
        <f>"201507003346"</f>
        <v>201507003346</v>
      </c>
      <c r="G1239" t="s">
        <v>125</v>
      </c>
      <c r="H1239" t="s">
        <v>20</v>
      </c>
      <c r="I1239">
        <v>1507</v>
      </c>
      <c r="J1239" t="s">
        <v>21</v>
      </c>
      <c r="K1239">
        <v>0</v>
      </c>
      <c r="M1239">
        <v>1488</v>
      </c>
    </row>
    <row r="1240" spans="1:13">
      <c r="A1240">
        <v>1234</v>
      </c>
      <c r="B1240">
        <v>80053</v>
      </c>
      <c r="C1240" t="s">
        <v>2935</v>
      </c>
      <c r="D1240" t="s">
        <v>80</v>
      </c>
      <c r="E1240" t="s">
        <v>2936</v>
      </c>
      <c r="F1240" t="str">
        <f>"00396862"</f>
        <v>00396862</v>
      </c>
      <c r="G1240" t="s">
        <v>47</v>
      </c>
      <c r="H1240" t="s">
        <v>48</v>
      </c>
      <c r="I1240">
        <v>1623</v>
      </c>
      <c r="J1240" t="s">
        <v>21</v>
      </c>
      <c r="K1240">
        <v>0</v>
      </c>
      <c r="L1240" t="s">
        <v>35</v>
      </c>
      <c r="M1240">
        <v>1025</v>
      </c>
    </row>
    <row r="1241" spans="1:13">
      <c r="A1241">
        <v>1235</v>
      </c>
      <c r="B1241">
        <v>88687</v>
      </c>
      <c r="C1241" t="s">
        <v>2937</v>
      </c>
      <c r="D1241" t="s">
        <v>1474</v>
      </c>
      <c r="E1241" t="s">
        <v>2938</v>
      </c>
      <c r="F1241" t="str">
        <f>"00396846"</f>
        <v>00396846</v>
      </c>
      <c r="G1241" t="s">
        <v>763</v>
      </c>
      <c r="H1241" t="s">
        <v>20</v>
      </c>
      <c r="I1241">
        <v>1430</v>
      </c>
      <c r="J1241" t="s">
        <v>21</v>
      </c>
      <c r="K1241">
        <v>0</v>
      </c>
      <c r="M1241">
        <v>1821</v>
      </c>
    </row>
    <row r="1242" spans="1:13">
      <c r="A1242">
        <v>1236</v>
      </c>
      <c r="B1242">
        <v>72857</v>
      </c>
      <c r="C1242" t="s">
        <v>2939</v>
      </c>
      <c r="D1242" t="s">
        <v>80</v>
      </c>
      <c r="E1242" t="s">
        <v>2940</v>
      </c>
      <c r="F1242" t="str">
        <f>"00249111"</f>
        <v>00249111</v>
      </c>
      <c r="G1242" t="s">
        <v>1100</v>
      </c>
      <c r="H1242" t="s">
        <v>234</v>
      </c>
      <c r="I1242">
        <v>1344</v>
      </c>
      <c r="J1242" t="s">
        <v>21</v>
      </c>
      <c r="K1242">
        <v>6</v>
      </c>
      <c r="M1242">
        <v>1147</v>
      </c>
    </row>
    <row r="1243" spans="1:13">
      <c r="A1243">
        <v>1237</v>
      </c>
      <c r="B1243">
        <v>87724</v>
      </c>
      <c r="C1243" t="s">
        <v>2941</v>
      </c>
      <c r="D1243" t="s">
        <v>373</v>
      </c>
      <c r="E1243" t="s">
        <v>2942</v>
      </c>
      <c r="F1243" t="str">
        <f>"00385316"</f>
        <v>00385316</v>
      </c>
      <c r="G1243" t="s">
        <v>47</v>
      </c>
      <c r="H1243" t="s">
        <v>48</v>
      </c>
      <c r="I1243">
        <v>1623</v>
      </c>
      <c r="J1243" t="s">
        <v>21</v>
      </c>
      <c r="K1243">
        <v>0</v>
      </c>
      <c r="M1243">
        <v>1377</v>
      </c>
    </row>
    <row r="1244" spans="1:13">
      <c r="A1244">
        <v>1238</v>
      </c>
      <c r="B1244">
        <v>103873</v>
      </c>
      <c r="C1244" t="s">
        <v>2943</v>
      </c>
      <c r="D1244" t="s">
        <v>76</v>
      </c>
      <c r="E1244" t="s">
        <v>2944</v>
      </c>
      <c r="F1244" t="str">
        <f>"00277412"</f>
        <v>00277412</v>
      </c>
      <c r="G1244" t="s">
        <v>760</v>
      </c>
      <c r="H1244" t="s">
        <v>20</v>
      </c>
      <c r="I1244">
        <v>1432</v>
      </c>
      <c r="J1244" t="s">
        <v>21</v>
      </c>
      <c r="K1244">
        <v>0</v>
      </c>
      <c r="M1244">
        <v>1498</v>
      </c>
    </row>
    <row r="1245" spans="1:13">
      <c r="A1245">
        <v>1239</v>
      </c>
      <c r="B1245">
        <v>61796</v>
      </c>
      <c r="C1245" t="s">
        <v>2945</v>
      </c>
      <c r="D1245" t="s">
        <v>288</v>
      </c>
      <c r="E1245" t="s">
        <v>2946</v>
      </c>
      <c r="F1245" t="str">
        <f>"201504003779"</f>
        <v>201504003779</v>
      </c>
      <c r="G1245" t="s">
        <v>24</v>
      </c>
      <c r="H1245" t="s">
        <v>20</v>
      </c>
      <c r="I1245">
        <v>1577</v>
      </c>
      <c r="J1245" t="s">
        <v>21</v>
      </c>
      <c r="K1245">
        <v>0</v>
      </c>
      <c r="L1245" t="s">
        <v>35</v>
      </c>
      <c r="M1245">
        <v>1000</v>
      </c>
    </row>
    <row r="1246" spans="1:13">
      <c r="A1246">
        <v>1240</v>
      </c>
      <c r="B1246">
        <v>64263</v>
      </c>
      <c r="C1246" t="s">
        <v>2947</v>
      </c>
      <c r="D1246" t="s">
        <v>2264</v>
      </c>
      <c r="E1246" t="s">
        <v>2948</v>
      </c>
      <c r="F1246" t="str">
        <f>"00355671"</f>
        <v>00355671</v>
      </c>
      <c r="G1246" t="s">
        <v>856</v>
      </c>
      <c r="H1246" t="s">
        <v>366</v>
      </c>
      <c r="I1246">
        <v>1706</v>
      </c>
      <c r="J1246" t="s">
        <v>21</v>
      </c>
      <c r="K1246">
        <v>0</v>
      </c>
      <c r="L1246" t="s">
        <v>35</v>
      </c>
      <c r="M1246">
        <v>906</v>
      </c>
    </row>
    <row r="1247" spans="1:13">
      <c r="A1247">
        <v>1241</v>
      </c>
      <c r="B1247">
        <v>114112</v>
      </c>
      <c r="C1247" t="s">
        <v>2949</v>
      </c>
      <c r="D1247" t="s">
        <v>2950</v>
      </c>
      <c r="E1247" t="s">
        <v>2951</v>
      </c>
      <c r="F1247" t="str">
        <f>"00416835"</f>
        <v>00416835</v>
      </c>
      <c r="G1247" t="s">
        <v>111</v>
      </c>
      <c r="H1247" t="s">
        <v>48</v>
      </c>
      <c r="I1247">
        <v>1620</v>
      </c>
      <c r="J1247" t="s">
        <v>21</v>
      </c>
      <c r="K1247">
        <v>0</v>
      </c>
      <c r="L1247" t="s">
        <v>35</v>
      </c>
      <c r="M1247">
        <v>891</v>
      </c>
    </row>
    <row r="1248" spans="1:13">
      <c r="A1248">
        <v>1242</v>
      </c>
      <c r="B1248">
        <v>59125</v>
      </c>
      <c r="C1248" t="s">
        <v>2952</v>
      </c>
      <c r="D1248" t="s">
        <v>76</v>
      </c>
      <c r="E1248" t="s">
        <v>2953</v>
      </c>
      <c r="F1248" t="str">
        <f>"00361993"</f>
        <v>00361993</v>
      </c>
      <c r="G1248" t="s">
        <v>107</v>
      </c>
      <c r="H1248" t="s">
        <v>20</v>
      </c>
      <c r="I1248">
        <v>1472</v>
      </c>
      <c r="J1248" t="s">
        <v>21</v>
      </c>
      <c r="K1248">
        <v>0</v>
      </c>
      <c r="L1248" t="s">
        <v>35</v>
      </c>
      <c r="M1248">
        <v>908</v>
      </c>
    </row>
    <row r="1249" spans="1:13">
      <c r="A1249">
        <v>1243</v>
      </c>
      <c r="B1249">
        <v>88243</v>
      </c>
      <c r="C1249" t="s">
        <v>2954</v>
      </c>
      <c r="D1249" t="s">
        <v>105</v>
      </c>
      <c r="E1249" t="s">
        <v>2955</v>
      </c>
      <c r="F1249" t="str">
        <f>"00373396"</f>
        <v>00373396</v>
      </c>
      <c r="G1249" t="s">
        <v>70</v>
      </c>
      <c r="H1249" t="s">
        <v>71</v>
      </c>
      <c r="I1249">
        <v>1702</v>
      </c>
      <c r="J1249" t="s">
        <v>21</v>
      </c>
      <c r="K1249">
        <v>0</v>
      </c>
      <c r="L1249" t="s">
        <v>59</v>
      </c>
      <c r="M1249">
        <v>1128</v>
      </c>
    </row>
    <row r="1250" spans="1:13">
      <c r="A1250">
        <v>1244</v>
      </c>
      <c r="B1250">
        <v>70926</v>
      </c>
      <c r="C1250" t="s">
        <v>2956</v>
      </c>
      <c r="D1250" t="s">
        <v>121</v>
      </c>
      <c r="E1250" t="s">
        <v>2957</v>
      </c>
      <c r="F1250" t="str">
        <f>"00380539"</f>
        <v>00380539</v>
      </c>
      <c r="G1250" t="s">
        <v>24</v>
      </c>
      <c r="H1250" t="s">
        <v>20</v>
      </c>
      <c r="I1250">
        <v>1577</v>
      </c>
      <c r="J1250" t="s">
        <v>21</v>
      </c>
      <c r="K1250">
        <v>0</v>
      </c>
      <c r="L1250" t="s">
        <v>35</v>
      </c>
      <c r="M1250">
        <v>1008</v>
      </c>
    </row>
    <row r="1251" spans="1:13">
      <c r="A1251">
        <v>1245</v>
      </c>
      <c r="B1251">
        <v>72444</v>
      </c>
      <c r="C1251" t="s">
        <v>2958</v>
      </c>
      <c r="D1251" t="s">
        <v>105</v>
      </c>
      <c r="E1251" t="s">
        <v>2959</v>
      </c>
      <c r="F1251" t="str">
        <f>"00249080"</f>
        <v>00249080</v>
      </c>
      <c r="G1251" t="s">
        <v>125</v>
      </c>
      <c r="H1251" t="s">
        <v>20</v>
      </c>
      <c r="I1251">
        <v>1507</v>
      </c>
      <c r="J1251" t="s">
        <v>21</v>
      </c>
      <c r="K1251">
        <v>0</v>
      </c>
      <c r="L1251" t="s">
        <v>35</v>
      </c>
      <c r="M1251">
        <v>1122</v>
      </c>
    </row>
    <row r="1252" spans="1:13">
      <c r="A1252">
        <v>1246</v>
      </c>
      <c r="B1252">
        <v>58250</v>
      </c>
      <c r="C1252" t="s">
        <v>2960</v>
      </c>
      <c r="D1252" t="s">
        <v>65</v>
      </c>
      <c r="E1252" t="s">
        <v>2961</v>
      </c>
      <c r="F1252" t="str">
        <f>"00086060"</f>
        <v>00086060</v>
      </c>
      <c r="G1252" t="s">
        <v>2698</v>
      </c>
      <c r="H1252" t="s">
        <v>216</v>
      </c>
      <c r="I1252">
        <v>1709</v>
      </c>
      <c r="J1252" t="s">
        <v>21</v>
      </c>
      <c r="K1252">
        <v>0</v>
      </c>
      <c r="M1252">
        <v>1418</v>
      </c>
    </row>
    <row r="1253" spans="1:13">
      <c r="A1253">
        <v>1247</v>
      </c>
      <c r="B1253">
        <v>68767</v>
      </c>
      <c r="C1253" t="s">
        <v>2962</v>
      </c>
      <c r="D1253" t="s">
        <v>2963</v>
      </c>
      <c r="E1253" t="s">
        <v>2964</v>
      </c>
      <c r="F1253" t="str">
        <f>"00376350"</f>
        <v>00376350</v>
      </c>
      <c r="G1253" t="s">
        <v>1107</v>
      </c>
      <c r="H1253" t="s">
        <v>48</v>
      </c>
      <c r="I1253">
        <v>1626</v>
      </c>
      <c r="J1253" t="s">
        <v>21</v>
      </c>
      <c r="K1253">
        <v>0</v>
      </c>
      <c r="L1253" t="s">
        <v>35</v>
      </c>
      <c r="M1253">
        <v>1038</v>
      </c>
    </row>
    <row r="1254" spans="1:13">
      <c r="A1254">
        <v>1248</v>
      </c>
      <c r="B1254">
        <v>47044</v>
      </c>
      <c r="C1254" t="s">
        <v>2965</v>
      </c>
      <c r="D1254" t="s">
        <v>914</v>
      </c>
      <c r="E1254" t="s">
        <v>2966</v>
      </c>
      <c r="F1254" t="str">
        <f>"00231756"</f>
        <v>00231756</v>
      </c>
      <c r="G1254" t="s">
        <v>24</v>
      </c>
      <c r="H1254" t="s">
        <v>20</v>
      </c>
      <c r="I1254">
        <v>1577</v>
      </c>
      <c r="J1254" t="s">
        <v>21</v>
      </c>
      <c r="K1254">
        <v>0</v>
      </c>
      <c r="L1254" t="s">
        <v>59</v>
      </c>
      <c r="M1254">
        <v>1043</v>
      </c>
    </row>
    <row r="1255" spans="1:13">
      <c r="A1255">
        <v>1249</v>
      </c>
      <c r="B1255">
        <v>76323</v>
      </c>
      <c r="C1255" t="s">
        <v>2967</v>
      </c>
      <c r="D1255" t="s">
        <v>98</v>
      </c>
      <c r="E1255" t="s">
        <v>2968</v>
      </c>
      <c r="F1255" t="str">
        <f>"00389782"</f>
        <v>00389782</v>
      </c>
      <c r="G1255" t="s">
        <v>395</v>
      </c>
      <c r="H1255" t="s">
        <v>234</v>
      </c>
      <c r="I1255">
        <v>1336</v>
      </c>
      <c r="J1255" t="s">
        <v>21</v>
      </c>
      <c r="K1255">
        <v>0</v>
      </c>
      <c r="L1255" t="s">
        <v>35</v>
      </c>
      <c r="M1255">
        <v>975</v>
      </c>
    </row>
    <row r="1256" spans="1:13">
      <c r="A1256">
        <v>1250</v>
      </c>
      <c r="B1256">
        <v>52570</v>
      </c>
      <c r="C1256" t="s">
        <v>2969</v>
      </c>
      <c r="D1256" t="s">
        <v>105</v>
      </c>
      <c r="E1256" t="s">
        <v>2970</v>
      </c>
      <c r="F1256" t="str">
        <f>"00366745"</f>
        <v>00366745</v>
      </c>
      <c r="G1256" t="s">
        <v>38</v>
      </c>
      <c r="H1256" t="s">
        <v>39</v>
      </c>
      <c r="I1256">
        <v>1634</v>
      </c>
      <c r="J1256" t="s">
        <v>21</v>
      </c>
      <c r="K1256">
        <v>0</v>
      </c>
      <c r="L1256" t="s">
        <v>59</v>
      </c>
      <c r="M1256">
        <v>736</v>
      </c>
    </row>
    <row r="1257" spans="1:13">
      <c r="A1257">
        <v>1251</v>
      </c>
      <c r="B1257">
        <v>103231</v>
      </c>
      <c r="C1257" t="s">
        <v>2971</v>
      </c>
      <c r="D1257" t="s">
        <v>80</v>
      </c>
      <c r="E1257" t="s">
        <v>2972</v>
      </c>
      <c r="F1257" t="str">
        <f>"00376638"</f>
        <v>00376638</v>
      </c>
      <c r="G1257" t="s">
        <v>446</v>
      </c>
      <c r="H1257" t="s">
        <v>137</v>
      </c>
      <c r="I1257">
        <v>1602</v>
      </c>
      <c r="J1257" t="s">
        <v>21</v>
      </c>
      <c r="K1257">
        <v>0</v>
      </c>
      <c r="L1257" t="s">
        <v>35</v>
      </c>
      <c r="M1257">
        <v>908</v>
      </c>
    </row>
    <row r="1258" spans="1:13">
      <c r="A1258">
        <v>1252</v>
      </c>
      <c r="B1258">
        <v>51813</v>
      </c>
      <c r="C1258" t="s">
        <v>2973</v>
      </c>
      <c r="D1258" t="s">
        <v>700</v>
      </c>
      <c r="E1258" t="s">
        <v>2974</v>
      </c>
      <c r="F1258" t="str">
        <f>"00248226"</f>
        <v>00248226</v>
      </c>
      <c r="G1258" t="s">
        <v>107</v>
      </c>
      <c r="H1258" t="s">
        <v>20</v>
      </c>
      <c r="I1258">
        <v>1472</v>
      </c>
      <c r="J1258" t="s">
        <v>21</v>
      </c>
      <c r="K1258">
        <v>0</v>
      </c>
      <c r="L1258" t="s">
        <v>35</v>
      </c>
      <c r="M1258">
        <v>908</v>
      </c>
    </row>
    <row r="1259" spans="1:13">
      <c r="A1259">
        <v>1253</v>
      </c>
      <c r="B1259">
        <v>50905</v>
      </c>
      <c r="C1259" t="s">
        <v>2975</v>
      </c>
      <c r="D1259" t="s">
        <v>700</v>
      </c>
      <c r="E1259" t="s">
        <v>2976</v>
      </c>
      <c r="F1259" t="str">
        <f>"00356610"</f>
        <v>00356610</v>
      </c>
      <c r="G1259" t="s">
        <v>284</v>
      </c>
      <c r="H1259" t="s">
        <v>270</v>
      </c>
      <c r="I1259">
        <v>1586</v>
      </c>
      <c r="J1259" t="s">
        <v>21</v>
      </c>
      <c r="K1259">
        <v>0</v>
      </c>
      <c r="M1259">
        <v>1368</v>
      </c>
    </row>
    <row r="1260" spans="1:13">
      <c r="A1260">
        <v>1254</v>
      </c>
      <c r="B1260">
        <v>114128</v>
      </c>
      <c r="C1260" t="s">
        <v>2977</v>
      </c>
      <c r="D1260" t="s">
        <v>80</v>
      </c>
      <c r="E1260" t="s">
        <v>2978</v>
      </c>
      <c r="F1260" t="str">
        <f>"00342094"</f>
        <v>00342094</v>
      </c>
      <c r="G1260" t="s">
        <v>488</v>
      </c>
      <c r="H1260" t="s">
        <v>20</v>
      </c>
      <c r="I1260">
        <v>1482</v>
      </c>
      <c r="J1260" t="s">
        <v>21</v>
      </c>
      <c r="K1260">
        <v>0</v>
      </c>
      <c r="L1260" t="s">
        <v>35</v>
      </c>
      <c r="M1260">
        <v>900</v>
      </c>
    </row>
    <row r="1261" spans="1:13">
      <c r="A1261">
        <v>1255</v>
      </c>
      <c r="B1261">
        <v>78745</v>
      </c>
      <c r="C1261" t="s">
        <v>2979</v>
      </c>
      <c r="D1261" t="s">
        <v>391</v>
      </c>
      <c r="E1261" t="s">
        <v>2980</v>
      </c>
      <c r="F1261" t="str">
        <f>"00388971"</f>
        <v>00388971</v>
      </c>
      <c r="G1261" t="s">
        <v>561</v>
      </c>
      <c r="H1261" t="s">
        <v>20</v>
      </c>
      <c r="I1261">
        <v>1574</v>
      </c>
      <c r="J1261" t="s">
        <v>21</v>
      </c>
      <c r="K1261">
        <v>0</v>
      </c>
      <c r="M1261">
        <v>1437</v>
      </c>
    </row>
    <row r="1262" spans="1:13">
      <c r="A1262">
        <v>1256</v>
      </c>
      <c r="B1262">
        <v>68007</v>
      </c>
      <c r="C1262" t="s">
        <v>2981</v>
      </c>
      <c r="D1262" t="s">
        <v>80</v>
      </c>
      <c r="E1262" t="s">
        <v>2982</v>
      </c>
      <c r="F1262" t="str">
        <f>"200801002694"</f>
        <v>200801002694</v>
      </c>
      <c r="G1262" t="s">
        <v>47</v>
      </c>
      <c r="H1262" t="s">
        <v>48</v>
      </c>
      <c r="I1262">
        <v>1623</v>
      </c>
      <c r="J1262" t="s">
        <v>21</v>
      </c>
      <c r="K1262">
        <v>0</v>
      </c>
      <c r="L1262" t="s">
        <v>35</v>
      </c>
      <c r="M1262">
        <v>950</v>
      </c>
    </row>
    <row r="1263" spans="1:13">
      <c r="A1263">
        <v>1257</v>
      </c>
      <c r="B1263">
        <v>90806</v>
      </c>
      <c r="C1263" t="s">
        <v>2983</v>
      </c>
      <c r="D1263" t="s">
        <v>163</v>
      </c>
      <c r="E1263" t="s">
        <v>2984</v>
      </c>
      <c r="F1263" t="str">
        <f>"00244762"</f>
        <v>00244762</v>
      </c>
      <c r="G1263" t="s">
        <v>47</v>
      </c>
      <c r="H1263" t="s">
        <v>48</v>
      </c>
      <c r="I1263">
        <v>1623</v>
      </c>
      <c r="J1263" t="s">
        <v>21</v>
      </c>
      <c r="K1263">
        <v>0</v>
      </c>
      <c r="L1263" t="s">
        <v>88</v>
      </c>
      <c r="M1263">
        <v>600</v>
      </c>
    </row>
    <row r="1264" spans="1:13">
      <c r="A1264">
        <v>1258</v>
      </c>
      <c r="B1264">
        <v>98990</v>
      </c>
      <c r="C1264" t="s">
        <v>2985</v>
      </c>
      <c r="D1264" t="s">
        <v>80</v>
      </c>
      <c r="E1264" t="s">
        <v>2986</v>
      </c>
      <c r="F1264" t="str">
        <f>"00384935"</f>
        <v>00384935</v>
      </c>
      <c r="G1264" t="s">
        <v>63</v>
      </c>
      <c r="H1264" t="s">
        <v>20</v>
      </c>
      <c r="I1264">
        <v>1576</v>
      </c>
      <c r="J1264" t="s">
        <v>21</v>
      </c>
      <c r="K1264">
        <v>0</v>
      </c>
      <c r="M1264">
        <v>1328</v>
      </c>
    </row>
    <row r="1265" spans="1:13">
      <c r="A1265">
        <v>1259</v>
      </c>
      <c r="B1265">
        <v>86003</v>
      </c>
      <c r="C1265" t="s">
        <v>2987</v>
      </c>
      <c r="D1265" t="s">
        <v>1385</v>
      </c>
      <c r="E1265" t="s">
        <v>2988</v>
      </c>
      <c r="F1265" t="str">
        <f>"00416128"</f>
        <v>00416128</v>
      </c>
      <c r="G1265" t="s">
        <v>352</v>
      </c>
      <c r="H1265" t="s">
        <v>20</v>
      </c>
      <c r="I1265">
        <v>1471</v>
      </c>
      <c r="J1265" t="s">
        <v>21</v>
      </c>
      <c r="K1265">
        <v>0</v>
      </c>
      <c r="M1265">
        <v>1388</v>
      </c>
    </row>
    <row r="1266" spans="1:13">
      <c r="A1266">
        <v>1260</v>
      </c>
      <c r="B1266">
        <v>109598</v>
      </c>
      <c r="C1266" t="s">
        <v>2989</v>
      </c>
      <c r="D1266" t="s">
        <v>243</v>
      </c>
      <c r="E1266" t="s">
        <v>2990</v>
      </c>
      <c r="F1266" t="str">
        <f>"00419229"</f>
        <v>00419229</v>
      </c>
      <c r="G1266" t="s">
        <v>2991</v>
      </c>
      <c r="H1266" t="s">
        <v>1631</v>
      </c>
      <c r="I1266">
        <v>1375</v>
      </c>
      <c r="J1266" t="s">
        <v>21</v>
      </c>
      <c r="K1266">
        <v>6</v>
      </c>
      <c r="M1266">
        <v>1488</v>
      </c>
    </row>
    <row r="1267" spans="1:13">
      <c r="A1267">
        <v>1261</v>
      </c>
      <c r="B1267">
        <v>108197</v>
      </c>
      <c r="C1267" t="s">
        <v>2992</v>
      </c>
      <c r="D1267" t="s">
        <v>102</v>
      </c>
      <c r="E1267" t="s">
        <v>2993</v>
      </c>
      <c r="F1267" t="str">
        <f>"00228881"</f>
        <v>00228881</v>
      </c>
      <c r="G1267" t="s">
        <v>365</v>
      </c>
      <c r="H1267" t="s">
        <v>366</v>
      </c>
      <c r="I1267">
        <v>1692</v>
      </c>
      <c r="J1267" t="s">
        <v>21</v>
      </c>
      <c r="K1267">
        <v>0</v>
      </c>
      <c r="L1267" t="s">
        <v>88</v>
      </c>
      <c r="M1267">
        <v>558</v>
      </c>
    </row>
    <row r="1268" spans="1:13">
      <c r="A1268">
        <v>1262</v>
      </c>
      <c r="B1268">
        <v>102100</v>
      </c>
      <c r="C1268" t="s">
        <v>2994</v>
      </c>
      <c r="D1268" t="s">
        <v>102</v>
      </c>
      <c r="E1268" t="s">
        <v>2995</v>
      </c>
      <c r="F1268" t="str">
        <f>"00374859"</f>
        <v>00374859</v>
      </c>
      <c r="G1268" t="s">
        <v>125</v>
      </c>
      <c r="H1268" t="s">
        <v>20</v>
      </c>
      <c r="I1268">
        <v>1507</v>
      </c>
      <c r="J1268" t="s">
        <v>21</v>
      </c>
      <c r="K1268">
        <v>0</v>
      </c>
      <c r="M1268">
        <v>1474</v>
      </c>
    </row>
    <row r="1269" spans="1:13">
      <c r="A1269">
        <v>1263</v>
      </c>
      <c r="B1269">
        <v>93337</v>
      </c>
      <c r="C1269" t="s">
        <v>2996</v>
      </c>
      <c r="D1269" t="s">
        <v>2997</v>
      </c>
      <c r="E1269" t="s">
        <v>2998</v>
      </c>
      <c r="F1269" t="str">
        <f>"00295985"</f>
        <v>00295985</v>
      </c>
      <c r="G1269" t="s">
        <v>107</v>
      </c>
      <c r="H1269" t="s">
        <v>20</v>
      </c>
      <c r="I1269">
        <v>1472</v>
      </c>
      <c r="J1269" t="s">
        <v>21</v>
      </c>
      <c r="K1269">
        <v>0</v>
      </c>
      <c r="L1269" t="s">
        <v>2999</v>
      </c>
      <c r="M1269">
        <v>750</v>
      </c>
    </row>
    <row r="1270" spans="1:13">
      <c r="A1270">
        <v>1264</v>
      </c>
      <c r="B1270">
        <v>53997</v>
      </c>
      <c r="C1270" t="s">
        <v>3000</v>
      </c>
      <c r="D1270" t="s">
        <v>94</v>
      </c>
      <c r="E1270" t="s">
        <v>3001</v>
      </c>
      <c r="F1270" t="str">
        <f>"201511007623"</f>
        <v>201511007623</v>
      </c>
      <c r="G1270" t="s">
        <v>33</v>
      </c>
      <c r="H1270" t="s">
        <v>366</v>
      </c>
      <c r="I1270">
        <v>1689</v>
      </c>
      <c r="J1270" t="s">
        <v>21</v>
      </c>
      <c r="K1270">
        <v>6</v>
      </c>
      <c r="L1270" t="s">
        <v>35</v>
      </c>
      <c r="M1270">
        <v>700</v>
      </c>
    </row>
    <row r="1271" spans="1:13">
      <c r="A1271">
        <v>1265</v>
      </c>
      <c r="B1271">
        <v>103080</v>
      </c>
      <c r="C1271" t="s">
        <v>3002</v>
      </c>
      <c r="D1271" t="s">
        <v>213</v>
      </c>
      <c r="E1271" t="s">
        <v>3003</v>
      </c>
      <c r="F1271" t="str">
        <f>"00256434"</f>
        <v>00256434</v>
      </c>
      <c r="G1271" t="s">
        <v>547</v>
      </c>
      <c r="H1271" t="s">
        <v>751</v>
      </c>
      <c r="I1271">
        <v>1321</v>
      </c>
      <c r="J1271" t="s">
        <v>21</v>
      </c>
      <c r="K1271">
        <v>6</v>
      </c>
      <c r="M1271">
        <v>1278</v>
      </c>
    </row>
    <row r="1272" spans="1:13">
      <c r="A1272">
        <v>1266</v>
      </c>
      <c r="B1272">
        <v>72645</v>
      </c>
      <c r="C1272" t="s">
        <v>3004</v>
      </c>
      <c r="D1272" t="s">
        <v>98</v>
      </c>
      <c r="E1272" t="s">
        <v>3005</v>
      </c>
      <c r="F1272" t="str">
        <f>"00380679"</f>
        <v>00380679</v>
      </c>
      <c r="G1272" t="s">
        <v>371</v>
      </c>
      <c r="H1272" t="s">
        <v>20</v>
      </c>
      <c r="I1272">
        <v>1526</v>
      </c>
      <c r="J1272" t="s">
        <v>21</v>
      </c>
      <c r="K1272">
        <v>6</v>
      </c>
      <c r="L1272" t="s">
        <v>35</v>
      </c>
      <c r="M1272">
        <v>408</v>
      </c>
    </row>
    <row r="1273" spans="1:13">
      <c r="A1273">
        <v>1267</v>
      </c>
      <c r="B1273">
        <v>86679</v>
      </c>
      <c r="C1273" t="s">
        <v>3006</v>
      </c>
      <c r="D1273" t="s">
        <v>198</v>
      </c>
      <c r="E1273" t="s">
        <v>3007</v>
      </c>
      <c r="F1273" t="str">
        <f>"00416260"</f>
        <v>00416260</v>
      </c>
      <c r="G1273" t="s">
        <v>371</v>
      </c>
      <c r="H1273" t="s">
        <v>20</v>
      </c>
      <c r="I1273">
        <v>1526</v>
      </c>
      <c r="J1273" t="s">
        <v>21</v>
      </c>
      <c r="K1273">
        <v>6</v>
      </c>
      <c r="L1273" t="s">
        <v>83</v>
      </c>
      <c r="M1273">
        <v>658</v>
      </c>
    </row>
    <row r="1274" spans="1:13">
      <c r="A1274">
        <v>1268</v>
      </c>
      <c r="B1274">
        <v>71826</v>
      </c>
      <c r="C1274" t="s">
        <v>3008</v>
      </c>
      <c r="D1274" t="s">
        <v>105</v>
      </c>
      <c r="E1274" t="s">
        <v>3009</v>
      </c>
      <c r="F1274" t="str">
        <f>"00407072"</f>
        <v>00407072</v>
      </c>
      <c r="G1274" t="s">
        <v>371</v>
      </c>
      <c r="H1274" t="s">
        <v>20</v>
      </c>
      <c r="I1274">
        <v>1526</v>
      </c>
      <c r="J1274" t="s">
        <v>21</v>
      </c>
      <c r="K1274">
        <v>6</v>
      </c>
      <c r="L1274" t="s">
        <v>35</v>
      </c>
      <c r="M1274">
        <v>408</v>
      </c>
    </row>
    <row r="1275" spans="1:13">
      <c r="A1275">
        <v>1269</v>
      </c>
      <c r="B1275">
        <v>104186</v>
      </c>
      <c r="C1275" t="s">
        <v>3010</v>
      </c>
      <c r="D1275" t="s">
        <v>105</v>
      </c>
      <c r="E1275" t="s">
        <v>3011</v>
      </c>
      <c r="F1275" t="str">
        <f>"00033071"</f>
        <v>00033071</v>
      </c>
      <c r="G1275" t="s">
        <v>107</v>
      </c>
      <c r="H1275" t="s">
        <v>20</v>
      </c>
      <c r="I1275">
        <v>1472</v>
      </c>
      <c r="J1275" t="s">
        <v>21</v>
      </c>
      <c r="K1275">
        <v>0</v>
      </c>
      <c r="M1275">
        <v>1408</v>
      </c>
    </row>
    <row r="1276" spans="1:13">
      <c r="A1276">
        <v>1270</v>
      </c>
      <c r="B1276">
        <v>106119</v>
      </c>
      <c r="C1276" t="s">
        <v>3012</v>
      </c>
      <c r="D1276" t="s">
        <v>80</v>
      </c>
      <c r="E1276" t="s">
        <v>3013</v>
      </c>
      <c r="F1276" t="str">
        <f>"00236560"</f>
        <v>00236560</v>
      </c>
      <c r="G1276" t="s">
        <v>760</v>
      </c>
      <c r="H1276" t="s">
        <v>20</v>
      </c>
      <c r="I1276">
        <v>1432</v>
      </c>
      <c r="J1276" t="s">
        <v>21</v>
      </c>
      <c r="K1276">
        <v>0</v>
      </c>
      <c r="L1276" t="s">
        <v>35</v>
      </c>
      <c r="M1276">
        <v>1057</v>
      </c>
    </row>
    <row r="1277" spans="1:13">
      <c r="A1277">
        <v>1271</v>
      </c>
      <c r="B1277">
        <v>49155</v>
      </c>
      <c r="C1277" t="s">
        <v>3014</v>
      </c>
      <c r="D1277" t="s">
        <v>90</v>
      </c>
      <c r="E1277" t="s">
        <v>3015</v>
      </c>
      <c r="F1277" t="str">
        <f>"00265728"</f>
        <v>00265728</v>
      </c>
      <c r="G1277" t="s">
        <v>365</v>
      </c>
      <c r="H1277" t="s">
        <v>366</v>
      </c>
      <c r="I1277">
        <v>1692</v>
      </c>
      <c r="J1277" t="s">
        <v>21</v>
      </c>
      <c r="K1277">
        <v>0</v>
      </c>
      <c r="L1277" t="s">
        <v>35</v>
      </c>
      <c r="M1277">
        <v>908</v>
      </c>
    </row>
    <row r="1278" spans="1:13">
      <c r="A1278">
        <v>1272</v>
      </c>
      <c r="B1278">
        <v>104531</v>
      </c>
      <c r="C1278" t="s">
        <v>3016</v>
      </c>
      <c r="D1278" t="s">
        <v>288</v>
      </c>
      <c r="E1278" t="s">
        <v>3017</v>
      </c>
      <c r="F1278" t="str">
        <f>"00400280"</f>
        <v>00400280</v>
      </c>
      <c r="G1278" t="s">
        <v>107</v>
      </c>
      <c r="H1278" t="s">
        <v>20</v>
      </c>
      <c r="I1278">
        <v>1472</v>
      </c>
      <c r="J1278" t="s">
        <v>21</v>
      </c>
      <c r="K1278">
        <v>0</v>
      </c>
      <c r="L1278" t="s">
        <v>35</v>
      </c>
      <c r="M1278">
        <v>908</v>
      </c>
    </row>
    <row r="1279" spans="1:13">
      <c r="A1279">
        <v>1273</v>
      </c>
      <c r="B1279">
        <v>89083</v>
      </c>
      <c r="C1279" t="s">
        <v>3018</v>
      </c>
      <c r="D1279" t="s">
        <v>198</v>
      </c>
      <c r="E1279" t="s">
        <v>3019</v>
      </c>
      <c r="F1279" t="str">
        <f>"00377495"</f>
        <v>00377495</v>
      </c>
      <c r="G1279" t="s">
        <v>955</v>
      </c>
      <c r="H1279" t="s">
        <v>48</v>
      </c>
      <c r="I1279">
        <v>1630</v>
      </c>
      <c r="J1279" t="s">
        <v>21</v>
      </c>
      <c r="K1279">
        <v>0</v>
      </c>
      <c r="L1279" t="s">
        <v>88</v>
      </c>
      <c r="M1279">
        <v>588</v>
      </c>
    </row>
    <row r="1280" spans="1:13">
      <c r="A1280">
        <v>1274</v>
      </c>
      <c r="B1280">
        <v>63719</v>
      </c>
      <c r="C1280" t="s">
        <v>3020</v>
      </c>
      <c r="D1280" t="s">
        <v>76</v>
      </c>
      <c r="E1280" t="s">
        <v>3021</v>
      </c>
      <c r="F1280" t="str">
        <f>"00308377"</f>
        <v>00308377</v>
      </c>
      <c r="G1280" t="s">
        <v>683</v>
      </c>
      <c r="H1280" t="s">
        <v>535</v>
      </c>
      <c r="I1280">
        <v>1670</v>
      </c>
      <c r="J1280" t="s">
        <v>21</v>
      </c>
      <c r="K1280">
        <v>0</v>
      </c>
      <c r="L1280" t="s">
        <v>35</v>
      </c>
      <c r="M1280">
        <v>900</v>
      </c>
    </row>
    <row r="1281" spans="1:13">
      <c r="A1281">
        <v>1275</v>
      </c>
      <c r="B1281">
        <v>59172</v>
      </c>
      <c r="C1281" t="s">
        <v>3022</v>
      </c>
      <c r="D1281" t="s">
        <v>628</v>
      </c>
      <c r="E1281" t="s">
        <v>3023</v>
      </c>
      <c r="F1281" t="str">
        <f>"201511007412"</f>
        <v>201511007412</v>
      </c>
      <c r="G1281" t="s">
        <v>561</v>
      </c>
      <c r="H1281" t="s">
        <v>20</v>
      </c>
      <c r="I1281">
        <v>1574</v>
      </c>
      <c r="J1281" t="s">
        <v>21</v>
      </c>
      <c r="K1281">
        <v>0</v>
      </c>
      <c r="M1281">
        <v>1358</v>
      </c>
    </row>
    <row r="1282" spans="1:13">
      <c r="A1282">
        <v>1276</v>
      </c>
      <c r="B1282">
        <v>92225</v>
      </c>
      <c r="C1282" t="s">
        <v>3024</v>
      </c>
      <c r="D1282" t="s">
        <v>102</v>
      </c>
      <c r="E1282" t="s">
        <v>3025</v>
      </c>
      <c r="F1282" t="str">
        <f>"00377808"</f>
        <v>00377808</v>
      </c>
      <c r="G1282" t="s">
        <v>1556</v>
      </c>
      <c r="H1282" t="s">
        <v>20</v>
      </c>
      <c r="I1282">
        <v>1530</v>
      </c>
      <c r="J1282" t="s">
        <v>21</v>
      </c>
      <c r="K1282">
        <v>0</v>
      </c>
      <c r="L1282" t="s">
        <v>35</v>
      </c>
      <c r="M1282">
        <v>972</v>
      </c>
    </row>
    <row r="1283" spans="1:13">
      <c r="A1283">
        <v>1277</v>
      </c>
      <c r="B1283">
        <v>90445</v>
      </c>
      <c r="C1283" t="s">
        <v>3026</v>
      </c>
      <c r="D1283" t="s">
        <v>90</v>
      </c>
      <c r="E1283" t="s">
        <v>3027</v>
      </c>
      <c r="F1283" t="str">
        <f>"00296285"</f>
        <v>00296285</v>
      </c>
      <c r="G1283" t="s">
        <v>107</v>
      </c>
      <c r="H1283" t="s">
        <v>20</v>
      </c>
      <c r="I1283">
        <v>1472</v>
      </c>
      <c r="J1283" t="s">
        <v>21</v>
      </c>
      <c r="K1283">
        <v>0</v>
      </c>
      <c r="L1283" t="s">
        <v>35</v>
      </c>
      <c r="M1283">
        <v>908</v>
      </c>
    </row>
    <row r="1284" spans="1:13">
      <c r="A1284">
        <v>1278</v>
      </c>
      <c r="B1284">
        <v>91621</v>
      </c>
      <c r="C1284" t="s">
        <v>3028</v>
      </c>
      <c r="D1284" t="s">
        <v>98</v>
      </c>
      <c r="E1284" t="s">
        <v>3029</v>
      </c>
      <c r="F1284" t="str">
        <f>"201406008658"</f>
        <v>201406008658</v>
      </c>
      <c r="G1284" t="s">
        <v>107</v>
      </c>
      <c r="H1284" t="s">
        <v>20</v>
      </c>
      <c r="I1284">
        <v>1472</v>
      </c>
      <c r="J1284" t="s">
        <v>21</v>
      </c>
      <c r="K1284">
        <v>0</v>
      </c>
      <c r="L1284" t="s">
        <v>35</v>
      </c>
      <c r="M1284">
        <v>908</v>
      </c>
    </row>
    <row r="1285" spans="1:13">
      <c r="A1285">
        <v>1279</v>
      </c>
      <c r="B1285">
        <v>84096</v>
      </c>
      <c r="C1285" t="s">
        <v>3030</v>
      </c>
      <c r="D1285" t="s">
        <v>3031</v>
      </c>
      <c r="E1285" t="s">
        <v>3032</v>
      </c>
      <c r="F1285" t="str">
        <f>"00258101"</f>
        <v>00258101</v>
      </c>
      <c r="G1285" t="s">
        <v>531</v>
      </c>
      <c r="H1285" t="s">
        <v>20</v>
      </c>
      <c r="I1285">
        <v>1445</v>
      </c>
      <c r="J1285" t="s">
        <v>21</v>
      </c>
      <c r="K1285">
        <v>0</v>
      </c>
      <c r="M1285">
        <v>1528</v>
      </c>
    </row>
    <row r="1286" spans="1:13">
      <c r="A1286">
        <v>1280</v>
      </c>
      <c r="B1286">
        <v>85052</v>
      </c>
      <c r="C1286" t="s">
        <v>3033</v>
      </c>
      <c r="D1286" t="s">
        <v>105</v>
      </c>
      <c r="E1286" t="s">
        <v>3034</v>
      </c>
      <c r="F1286" t="str">
        <f>"00384505"</f>
        <v>00384505</v>
      </c>
      <c r="G1286" t="s">
        <v>170</v>
      </c>
      <c r="H1286" t="s">
        <v>20</v>
      </c>
      <c r="I1286">
        <v>1412</v>
      </c>
      <c r="J1286" t="s">
        <v>21</v>
      </c>
      <c r="K1286">
        <v>0</v>
      </c>
      <c r="M1286">
        <v>1528</v>
      </c>
    </row>
    <row r="1287" spans="1:13">
      <c r="A1287">
        <v>1281</v>
      </c>
      <c r="B1287">
        <v>66522</v>
      </c>
      <c r="C1287" t="s">
        <v>3035</v>
      </c>
      <c r="D1287" t="s">
        <v>218</v>
      </c>
      <c r="E1287" t="s">
        <v>3036</v>
      </c>
      <c r="F1287" t="str">
        <f>"201409007155"</f>
        <v>201409007155</v>
      </c>
      <c r="G1287" t="s">
        <v>284</v>
      </c>
      <c r="H1287" t="s">
        <v>270</v>
      </c>
      <c r="I1287">
        <v>1586</v>
      </c>
      <c r="J1287" t="s">
        <v>21</v>
      </c>
      <c r="K1287">
        <v>0</v>
      </c>
      <c r="L1287" t="s">
        <v>35</v>
      </c>
      <c r="M1287">
        <v>908</v>
      </c>
    </row>
    <row r="1288" spans="1:13">
      <c r="A1288">
        <v>1282</v>
      </c>
      <c r="B1288">
        <v>73164</v>
      </c>
      <c r="C1288" t="s">
        <v>3037</v>
      </c>
      <c r="D1288" t="s">
        <v>180</v>
      </c>
      <c r="E1288" t="s">
        <v>3038</v>
      </c>
      <c r="F1288" t="str">
        <f>"200803000181"</f>
        <v>200803000181</v>
      </c>
      <c r="G1288" t="s">
        <v>47</v>
      </c>
      <c r="H1288" t="s">
        <v>48</v>
      </c>
      <c r="I1288">
        <v>1623</v>
      </c>
      <c r="J1288" t="s">
        <v>21</v>
      </c>
      <c r="K1288">
        <v>0</v>
      </c>
      <c r="M1288">
        <v>1588</v>
      </c>
    </row>
    <row r="1289" spans="1:13">
      <c r="A1289">
        <v>1283</v>
      </c>
      <c r="B1289">
        <v>50169</v>
      </c>
      <c r="C1289" t="s">
        <v>3039</v>
      </c>
      <c r="D1289" t="s">
        <v>529</v>
      </c>
      <c r="E1289" t="s">
        <v>3040</v>
      </c>
      <c r="F1289" t="str">
        <f>"00370927"</f>
        <v>00370927</v>
      </c>
      <c r="G1289" t="s">
        <v>1155</v>
      </c>
      <c r="H1289" t="s">
        <v>20</v>
      </c>
      <c r="I1289">
        <v>1480</v>
      </c>
      <c r="J1289" t="s">
        <v>21</v>
      </c>
      <c r="K1289">
        <v>0</v>
      </c>
      <c r="L1289" t="s">
        <v>35</v>
      </c>
      <c r="M1289">
        <v>1103</v>
      </c>
    </row>
    <row r="1290" spans="1:13">
      <c r="A1290">
        <v>1284</v>
      </c>
      <c r="B1290">
        <v>59482</v>
      </c>
      <c r="C1290" t="s">
        <v>3041</v>
      </c>
      <c r="D1290" t="s">
        <v>198</v>
      </c>
      <c r="E1290" t="s">
        <v>3042</v>
      </c>
      <c r="F1290" t="str">
        <f>"00354122"</f>
        <v>00354122</v>
      </c>
      <c r="G1290" t="s">
        <v>527</v>
      </c>
      <c r="H1290" t="s">
        <v>3043</v>
      </c>
      <c r="I1290">
        <v>1341</v>
      </c>
      <c r="J1290" t="s">
        <v>21</v>
      </c>
      <c r="K1290">
        <v>0</v>
      </c>
      <c r="L1290" t="s">
        <v>35</v>
      </c>
      <c r="M1290">
        <v>1000</v>
      </c>
    </row>
    <row r="1291" spans="1:13">
      <c r="A1291">
        <v>1285</v>
      </c>
      <c r="B1291">
        <v>113823</v>
      </c>
      <c r="C1291" t="s">
        <v>3044</v>
      </c>
      <c r="D1291" t="s">
        <v>243</v>
      </c>
      <c r="E1291" t="s">
        <v>3045</v>
      </c>
      <c r="F1291" t="str">
        <f>"00277809"</f>
        <v>00277809</v>
      </c>
      <c r="G1291" t="s">
        <v>718</v>
      </c>
      <c r="H1291" t="s">
        <v>48</v>
      </c>
      <c r="I1291">
        <v>1625</v>
      </c>
      <c r="J1291" t="s">
        <v>21</v>
      </c>
      <c r="K1291">
        <v>0</v>
      </c>
      <c r="M1291">
        <v>1520</v>
      </c>
    </row>
    <row r="1292" spans="1:13">
      <c r="A1292">
        <v>1286</v>
      </c>
      <c r="B1292">
        <v>107522</v>
      </c>
      <c r="C1292" t="s">
        <v>3046</v>
      </c>
      <c r="D1292" t="s">
        <v>243</v>
      </c>
      <c r="E1292" t="s">
        <v>3047</v>
      </c>
      <c r="F1292" t="str">
        <f>"00421518"</f>
        <v>00421518</v>
      </c>
      <c r="G1292" t="s">
        <v>718</v>
      </c>
      <c r="H1292" t="s">
        <v>48</v>
      </c>
      <c r="I1292">
        <v>1625</v>
      </c>
      <c r="J1292" t="s">
        <v>21</v>
      </c>
      <c r="K1292">
        <v>0</v>
      </c>
      <c r="L1292" t="s">
        <v>35</v>
      </c>
      <c r="M1292">
        <v>1106</v>
      </c>
    </row>
    <row r="1293" spans="1:13">
      <c r="A1293">
        <v>1287</v>
      </c>
      <c r="B1293">
        <v>107999</v>
      </c>
      <c r="C1293" t="s">
        <v>3048</v>
      </c>
      <c r="D1293" t="s">
        <v>94</v>
      </c>
      <c r="E1293" t="s">
        <v>3049</v>
      </c>
      <c r="F1293" t="str">
        <f>"00421387"</f>
        <v>00421387</v>
      </c>
      <c r="G1293" t="s">
        <v>47</v>
      </c>
      <c r="H1293" t="s">
        <v>48</v>
      </c>
      <c r="I1293">
        <v>1623</v>
      </c>
      <c r="J1293" t="s">
        <v>21</v>
      </c>
      <c r="K1293">
        <v>0</v>
      </c>
      <c r="M1293">
        <v>1328</v>
      </c>
    </row>
    <row r="1294" spans="1:13">
      <c r="A1294">
        <v>1288</v>
      </c>
      <c r="B1294">
        <v>56524</v>
      </c>
      <c r="C1294" t="s">
        <v>3048</v>
      </c>
      <c r="D1294" t="s">
        <v>163</v>
      </c>
      <c r="E1294" t="s">
        <v>3050</v>
      </c>
      <c r="F1294" t="str">
        <f>"00192791"</f>
        <v>00192791</v>
      </c>
      <c r="G1294" t="s">
        <v>418</v>
      </c>
      <c r="H1294" t="s">
        <v>234</v>
      </c>
      <c r="I1294">
        <v>1335</v>
      </c>
      <c r="J1294" t="s">
        <v>21</v>
      </c>
      <c r="K1294">
        <v>6</v>
      </c>
      <c r="M1294">
        <v>1654</v>
      </c>
    </row>
    <row r="1295" spans="1:13">
      <c r="A1295">
        <v>1289</v>
      </c>
      <c r="B1295">
        <v>60733</v>
      </c>
      <c r="C1295" t="s">
        <v>3051</v>
      </c>
      <c r="D1295" t="s">
        <v>180</v>
      </c>
      <c r="E1295" t="s">
        <v>3052</v>
      </c>
      <c r="F1295" t="str">
        <f>"00367457"</f>
        <v>00367457</v>
      </c>
      <c r="G1295" t="s">
        <v>100</v>
      </c>
      <c r="H1295" t="s">
        <v>20</v>
      </c>
      <c r="I1295">
        <v>1468</v>
      </c>
      <c r="J1295" t="s">
        <v>21</v>
      </c>
      <c r="K1295">
        <v>0</v>
      </c>
      <c r="M1295">
        <v>1528</v>
      </c>
    </row>
    <row r="1296" spans="1:13">
      <c r="A1296">
        <v>1290</v>
      </c>
      <c r="B1296">
        <v>108212</v>
      </c>
      <c r="C1296" t="s">
        <v>3053</v>
      </c>
      <c r="D1296" t="s">
        <v>102</v>
      </c>
      <c r="E1296" t="s">
        <v>3054</v>
      </c>
      <c r="F1296" t="str">
        <f>"00283893"</f>
        <v>00283893</v>
      </c>
      <c r="G1296" t="s">
        <v>107</v>
      </c>
      <c r="H1296" t="s">
        <v>20</v>
      </c>
      <c r="I1296">
        <v>1472</v>
      </c>
      <c r="J1296" t="s">
        <v>21</v>
      </c>
      <c r="K1296">
        <v>0</v>
      </c>
      <c r="M1296">
        <v>1378</v>
      </c>
    </row>
    <row r="1297" spans="1:13">
      <c r="A1297">
        <v>1291</v>
      </c>
      <c r="B1297">
        <v>80906</v>
      </c>
      <c r="C1297" t="s">
        <v>3055</v>
      </c>
      <c r="D1297" t="s">
        <v>163</v>
      </c>
      <c r="E1297" t="s">
        <v>3056</v>
      </c>
      <c r="F1297" t="str">
        <f>"00371930"</f>
        <v>00371930</v>
      </c>
      <c r="G1297" t="s">
        <v>1869</v>
      </c>
      <c r="H1297" t="s">
        <v>20</v>
      </c>
      <c r="I1297">
        <v>1473</v>
      </c>
      <c r="J1297" t="s">
        <v>21</v>
      </c>
      <c r="K1297">
        <v>0</v>
      </c>
      <c r="L1297" t="s">
        <v>35</v>
      </c>
      <c r="M1297">
        <v>925</v>
      </c>
    </row>
    <row r="1298" spans="1:13">
      <c r="A1298">
        <v>1292</v>
      </c>
      <c r="B1298">
        <v>58578</v>
      </c>
      <c r="C1298" t="s">
        <v>3057</v>
      </c>
      <c r="D1298" t="s">
        <v>73</v>
      </c>
      <c r="E1298" t="s">
        <v>3058</v>
      </c>
      <c r="F1298" t="str">
        <f>"00361529"</f>
        <v>00361529</v>
      </c>
      <c r="G1298" t="s">
        <v>1830</v>
      </c>
      <c r="H1298" t="s">
        <v>20</v>
      </c>
      <c r="I1298">
        <v>1521</v>
      </c>
      <c r="J1298" t="s">
        <v>21</v>
      </c>
      <c r="K1298">
        <v>0</v>
      </c>
      <c r="M1298">
        <v>1488</v>
      </c>
    </row>
    <row r="1299" spans="1:13">
      <c r="A1299">
        <v>1293</v>
      </c>
      <c r="B1299">
        <v>94032</v>
      </c>
      <c r="C1299" t="s">
        <v>3059</v>
      </c>
      <c r="D1299" t="s">
        <v>209</v>
      </c>
      <c r="E1299">
        <v>302428</v>
      </c>
      <c r="F1299" t="str">
        <f>"00245407"</f>
        <v>00245407</v>
      </c>
      <c r="G1299" t="s">
        <v>2025</v>
      </c>
      <c r="H1299" t="s">
        <v>20</v>
      </c>
      <c r="I1299">
        <v>1570</v>
      </c>
      <c r="J1299" t="s">
        <v>21</v>
      </c>
      <c r="K1299">
        <v>6</v>
      </c>
      <c r="M1299">
        <v>1566</v>
      </c>
    </row>
    <row r="1300" spans="1:13">
      <c r="A1300">
        <v>1294</v>
      </c>
      <c r="B1300">
        <v>68865</v>
      </c>
      <c r="C1300" t="s">
        <v>3060</v>
      </c>
      <c r="D1300" t="s">
        <v>180</v>
      </c>
      <c r="E1300" t="s">
        <v>3061</v>
      </c>
      <c r="F1300" t="str">
        <f>"200801010779"</f>
        <v>200801010779</v>
      </c>
      <c r="G1300" t="s">
        <v>111</v>
      </c>
      <c r="H1300" t="s">
        <v>48</v>
      </c>
      <c r="I1300">
        <v>1620</v>
      </c>
      <c r="J1300" t="s">
        <v>21</v>
      </c>
      <c r="K1300">
        <v>0</v>
      </c>
      <c r="L1300" t="s">
        <v>88</v>
      </c>
      <c r="M1300">
        <v>656</v>
      </c>
    </row>
    <row r="1301" spans="1:13">
      <c r="A1301">
        <v>1295</v>
      </c>
      <c r="B1301">
        <v>73595</v>
      </c>
      <c r="C1301" t="s">
        <v>3062</v>
      </c>
      <c r="D1301" t="s">
        <v>373</v>
      </c>
      <c r="E1301" t="s">
        <v>3063</v>
      </c>
      <c r="F1301" t="str">
        <f>"00278318"</f>
        <v>00278318</v>
      </c>
      <c r="G1301" t="s">
        <v>19</v>
      </c>
      <c r="H1301" t="s">
        <v>20</v>
      </c>
      <c r="I1301">
        <v>1531</v>
      </c>
      <c r="J1301" t="s">
        <v>21</v>
      </c>
      <c r="K1301">
        <v>0</v>
      </c>
      <c r="M1301">
        <v>1338</v>
      </c>
    </row>
    <row r="1302" spans="1:13">
      <c r="A1302">
        <v>1296</v>
      </c>
      <c r="B1302">
        <v>110031</v>
      </c>
      <c r="C1302" t="s">
        <v>3064</v>
      </c>
      <c r="D1302" t="s">
        <v>105</v>
      </c>
      <c r="E1302" t="s">
        <v>3065</v>
      </c>
      <c r="F1302" t="str">
        <f>"00415243"</f>
        <v>00415243</v>
      </c>
      <c r="G1302" t="s">
        <v>47</v>
      </c>
      <c r="H1302" t="s">
        <v>48</v>
      </c>
      <c r="I1302">
        <v>1623</v>
      </c>
      <c r="J1302" t="s">
        <v>21</v>
      </c>
      <c r="K1302">
        <v>0</v>
      </c>
      <c r="L1302" t="s">
        <v>35</v>
      </c>
      <c r="M1302">
        <v>1000</v>
      </c>
    </row>
    <row r="1303" spans="1:13">
      <c r="A1303">
        <v>1297</v>
      </c>
      <c r="B1303">
        <v>55096</v>
      </c>
      <c r="C1303" t="s">
        <v>3066</v>
      </c>
      <c r="D1303" t="s">
        <v>85</v>
      </c>
      <c r="E1303" t="s">
        <v>3067</v>
      </c>
      <c r="F1303" t="str">
        <f>"00200242"</f>
        <v>00200242</v>
      </c>
      <c r="G1303" t="s">
        <v>1869</v>
      </c>
      <c r="H1303" t="s">
        <v>20</v>
      </c>
      <c r="I1303">
        <v>1473</v>
      </c>
      <c r="J1303" t="s">
        <v>21</v>
      </c>
      <c r="K1303">
        <v>0</v>
      </c>
      <c r="M1303">
        <v>1388</v>
      </c>
    </row>
    <row r="1304" spans="1:13">
      <c r="A1304">
        <v>1298</v>
      </c>
      <c r="B1304">
        <v>65900</v>
      </c>
      <c r="C1304" t="s">
        <v>3068</v>
      </c>
      <c r="D1304" t="s">
        <v>105</v>
      </c>
      <c r="E1304" t="s">
        <v>3069</v>
      </c>
      <c r="F1304" t="str">
        <f>"201603000294"</f>
        <v>201603000294</v>
      </c>
      <c r="G1304" t="s">
        <v>798</v>
      </c>
      <c r="H1304" t="s">
        <v>326</v>
      </c>
      <c r="I1304">
        <v>1593</v>
      </c>
      <c r="J1304" t="s">
        <v>21</v>
      </c>
      <c r="K1304">
        <v>0</v>
      </c>
      <c r="M1304">
        <v>1510</v>
      </c>
    </row>
    <row r="1305" spans="1:13">
      <c r="A1305">
        <v>1299</v>
      </c>
      <c r="B1305">
        <v>50992</v>
      </c>
      <c r="C1305" t="s">
        <v>3070</v>
      </c>
      <c r="D1305" t="s">
        <v>180</v>
      </c>
      <c r="E1305" t="s">
        <v>3071</v>
      </c>
      <c r="F1305" t="str">
        <f>"201511013583"</f>
        <v>201511013583</v>
      </c>
      <c r="G1305" t="s">
        <v>1995</v>
      </c>
      <c r="H1305" t="s">
        <v>20</v>
      </c>
      <c r="I1305">
        <v>1508</v>
      </c>
      <c r="J1305" t="s">
        <v>21</v>
      </c>
      <c r="K1305">
        <v>0</v>
      </c>
      <c r="L1305" t="s">
        <v>59</v>
      </c>
      <c r="M1305">
        <v>1215</v>
      </c>
    </row>
    <row r="1306" spans="1:13">
      <c r="A1306">
        <v>1300</v>
      </c>
      <c r="B1306">
        <v>90412</v>
      </c>
      <c r="C1306" t="s">
        <v>3072</v>
      </c>
      <c r="D1306" t="s">
        <v>76</v>
      </c>
      <c r="E1306" t="s">
        <v>3073</v>
      </c>
      <c r="F1306" t="str">
        <f>"00393055"</f>
        <v>00393055</v>
      </c>
      <c r="G1306" t="s">
        <v>47</v>
      </c>
      <c r="H1306" t="s">
        <v>48</v>
      </c>
      <c r="I1306">
        <v>1623</v>
      </c>
      <c r="J1306" t="s">
        <v>21</v>
      </c>
      <c r="K1306">
        <v>0</v>
      </c>
      <c r="L1306" t="s">
        <v>35</v>
      </c>
      <c r="M1306">
        <v>900</v>
      </c>
    </row>
    <row r="1307" spans="1:13">
      <c r="A1307">
        <v>1301</v>
      </c>
      <c r="B1307">
        <v>82837</v>
      </c>
      <c r="C1307" t="s">
        <v>3074</v>
      </c>
      <c r="D1307" t="s">
        <v>65</v>
      </c>
      <c r="E1307" t="s">
        <v>3075</v>
      </c>
      <c r="F1307" t="str">
        <f>"00408148"</f>
        <v>00408148</v>
      </c>
      <c r="G1307" t="s">
        <v>190</v>
      </c>
      <c r="H1307" t="s">
        <v>191</v>
      </c>
      <c r="I1307">
        <v>1618</v>
      </c>
      <c r="J1307" t="s">
        <v>21</v>
      </c>
      <c r="K1307">
        <v>0</v>
      </c>
      <c r="L1307" t="s">
        <v>35</v>
      </c>
      <c r="M1307">
        <v>970</v>
      </c>
    </row>
    <row r="1308" spans="1:13">
      <c r="A1308">
        <v>1302</v>
      </c>
      <c r="B1308">
        <v>83472</v>
      </c>
      <c r="C1308" t="s">
        <v>3076</v>
      </c>
      <c r="D1308" t="s">
        <v>102</v>
      </c>
      <c r="E1308" t="s">
        <v>3077</v>
      </c>
      <c r="F1308" t="str">
        <f>"00396526"</f>
        <v>00396526</v>
      </c>
      <c r="G1308" t="s">
        <v>155</v>
      </c>
      <c r="H1308" t="s">
        <v>156</v>
      </c>
      <c r="I1308">
        <v>1342</v>
      </c>
      <c r="J1308" t="s">
        <v>21</v>
      </c>
      <c r="K1308">
        <v>0</v>
      </c>
      <c r="L1308" t="s">
        <v>59</v>
      </c>
      <c r="M1308">
        <v>1048</v>
      </c>
    </row>
    <row r="1309" spans="1:13">
      <c r="A1309">
        <v>1303</v>
      </c>
      <c r="B1309">
        <v>74496</v>
      </c>
      <c r="C1309" t="s">
        <v>3078</v>
      </c>
      <c r="D1309" t="s">
        <v>321</v>
      </c>
      <c r="E1309" t="s">
        <v>3079</v>
      </c>
      <c r="F1309" t="str">
        <f>"00225835"</f>
        <v>00225835</v>
      </c>
      <c r="G1309" t="s">
        <v>2855</v>
      </c>
      <c r="H1309" t="s">
        <v>20</v>
      </c>
      <c r="I1309">
        <v>1561</v>
      </c>
      <c r="J1309" t="s">
        <v>21</v>
      </c>
      <c r="K1309">
        <v>6</v>
      </c>
      <c r="L1309" t="s">
        <v>35</v>
      </c>
      <c r="M1309">
        <v>475</v>
      </c>
    </row>
    <row r="1310" spans="1:13">
      <c r="A1310">
        <v>1304</v>
      </c>
      <c r="B1310">
        <v>108837</v>
      </c>
      <c r="C1310" t="s">
        <v>3080</v>
      </c>
      <c r="D1310" t="s">
        <v>566</v>
      </c>
      <c r="E1310" t="s">
        <v>3081</v>
      </c>
      <c r="F1310" t="str">
        <f>"201409001793"</f>
        <v>201409001793</v>
      </c>
      <c r="G1310" t="s">
        <v>371</v>
      </c>
      <c r="H1310" t="s">
        <v>20</v>
      </c>
      <c r="I1310">
        <v>1526</v>
      </c>
      <c r="J1310" t="s">
        <v>21</v>
      </c>
      <c r="K1310">
        <v>6</v>
      </c>
      <c r="L1310" t="s">
        <v>83</v>
      </c>
      <c r="M1310">
        <v>359</v>
      </c>
    </row>
    <row r="1311" spans="1:13">
      <c r="A1311">
        <v>1305</v>
      </c>
      <c r="B1311">
        <v>46991</v>
      </c>
      <c r="C1311" t="s">
        <v>3082</v>
      </c>
      <c r="D1311" t="s">
        <v>180</v>
      </c>
      <c r="E1311" t="s">
        <v>3083</v>
      </c>
      <c r="F1311" t="str">
        <f>"00327432"</f>
        <v>00327432</v>
      </c>
      <c r="G1311" t="s">
        <v>1079</v>
      </c>
      <c r="H1311" t="s">
        <v>20</v>
      </c>
      <c r="I1311">
        <v>1433</v>
      </c>
      <c r="J1311" t="s">
        <v>21</v>
      </c>
      <c r="K1311">
        <v>0</v>
      </c>
      <c r="M1311">
        <v>1463</v>
      </c>
    </row>
    <row r="1312" spans="1:13">
      <c r="A1312">
        <v>1306</v>
      </c>
      <c r="B1312">
        <v>110021</v>
      </c>
      <c r="C1312" t="s">
        <v>3084</v>
      </c>
      <c r="D1312" t="s">
        <v>153</v>
      </c>
      <c r="E1312" t="s">
        <v>3085</v>
      </c>
      <c r="F1312" t="str">
        <f>"00418843"</f>
        <v>00418843</v>
      </c>
      <c r="G1312" t="s">
        <v>107</v>
      </c>
      <c r="H1312" t="s">
        <v>20</v>
      </c>
      <c r="I1312">
        <v>1472</v>
      </c>
      <c r="J1312" t="s">
        <v>21</v>
      </c>
      <c r="K1312">
        <v>0</v>
      </c>
      <c r="L1312" t="s">
        <v>35</v>
      </c>
      <c r="M1312">
        <v>1108</v>
      </c>
    </row>
    <row r="1313" spans="1:13">
      <c r="A1313">
        <v>1307</v>
      </c>
      <c r="B1313">
        <v>46065</v>
      </c>
      <c r="C1313" t="s">
        <v>3086</v>
      </c>
      <c r="D1313" t="s">
        <v>98</v>
      </c>
      <c r="E1313" t="s">
        <v>3087</v>
      </c>
      <c r="F1313" t="str">
        <f>"00017868"</f>
        <v>00017868</v>
      </c>
      <c r="G1313" t="s">
        <v>955</v>
      </c>
      <c r="H1313" t="s">
        <v>274</v>
      </c>
      <c r="I1313">
        <v>1391</v>
      </c>
      <c r="J1313" t="s">
        <v>21</v>
      </c>
      <c r="K1313">
        <v>0</v>
      </c>
      <c r="L1313" t="s">
        <v>35</v>
      </c>
      <c r="M1313">
        <v>1100</v>
      </c>
    </row>
    <row r="1314" spans="1:13">
      <c r="A1314">
        <v>1308</v>
      </c>
      <c r="B1314">
        <v>89398</v>
      </c>
      <c r="C1314" t="s">
        <v>3088</v>
      </c>
      <c r="D1314" t="s">
        <v>205</v>
      </c>
      <c r="E1314" t="s">
        <v>3089</v>
      </c>
      <c r="F1314" t="str">
        <f>"200802008926"</f>
        <v>200802008926</v>
      </c>
      <c r="G1314" t="s">
        <v>683</v>
      </c>
      <c r="H1314" t="s">
        <v>535</v>
      </c>
      <c r="I1314">
        <v>1670</v>
      </c>
      <c r="J1314" t="s">
        <v>21</v>
      </c>
      <c r="K1314">
        <v>0</v>
      </c>
      <c r="L1314" t="s">
        <v>83</v>
      </c>
      <c r="M1314">
        <v>1288</v>
      </c>
    </row>
    <row r="1315" spans="1:13">
      <c r="A1315">
        <v>1309</v>
      </c>
      <c r="B1315">
        <v>47417</v>
      </c>
      <c r="C1315" t="s">
        <v>3090</v>
      </c>
      <c r="D1315" t="s">
        <v>98</v>
      </c>
      <c r="E1315" t="s">
        <v>3091</v>
      </c>
      <c r="F1315" t="str">
        <f>"00366765"</f>
        <v>00366765</v>
      </c>
      <c r="G1315" t="s">
        <v>352</v>
      </c>
      <c r="H1315" t="s">
        <v>20</v>
      </c>
      <c r="I1315">
        <v>1471</v>
      </c>
      <c r="J1315" t="s">
        <v>21</v>
      </c>
      <c r="K1315">
        <v>0</v>
      </c>
      <c r="M1315">
        <v>2128</v>
      </c>
    </row>
    <row r="1316" spans="1:13">
      <c r="A1316">
        <v>1310</v>
      </c>
      <c r="B1316">
        <v>77468</v>
      </c>
      <c r="C1316" t="s">
        <v>3092</v>
      </c>
      <c r="D1316" t="s">
        <v>109</v>
      </c>
      <c r="E1316" t="s">
        <v>3093</v>
      </c>
      <c r="F1316" t="str">
        <f>"00347082"</f>
        <v>00347082</v>
      </c>
      <c r="G1316" t="s">
        <v>170</v>
      </c>
      <c r="H1316" t="s">
        <v>20</v>
      </c>
      <c r="I1316">
        <v>1412</v>
      </c>
      <c r="J1316" t="s">
        <v>21</v>
      </c>
      <c r="K1316">
        <v>0</v>
      </c>
      <c r="M1316">
        <v>1488</v>
      </c>
    </row>
    <row r="1317" spans="1:13">
      <c r="A1317">
        <v>1311</v>
      </c>
      <c r="B1317">
        <v>84425</v>
      </c>
      <c r="C1317" t="s">
        <v>3094</v>
      </c>
      <c r="D1317" t="s">
        <v>73</v>
      </c>
      <c r="E1317" t="s">
        <v>3095</v>
      </c>
      <c r="F1317" t="str">
        <f>"00102350"</f>
        <v>00102350</v>
      </c>
      <c r="G1317" t="s">
        <v>1742</v>
      </c>
      <c r="H1317" t="s">
        <v>241</v>
      </c>
      <c r="I1317">
        <v>1365</v>
      </c>
      <c r="J1317" t="s">
        <v>21</v>
      </c>
      <c r="K1317">
        <v>0</v>
      </c>
      <c r="L1317" t="s">
        <v>35</v>
      </c>
      <c r="M1317">
        <v>1032</v>
      </c>
    </row>
    <row r="1318" spans="1:13">
      <c r="A1318">
        <v>1312</v>
      </c>
      <c r="B1318">
        <v>86826</v>
      </c>
      <c r="C1318" t="s">
        <v>3096</v>
      </c>
      <c r="D1318" t="s">
        <v>243</v>
      </c>
      <c r="E1318" t="s">
        <v>3097</v>
      </c>
      <c r="F1318" t="str">
        <f>"00385100"</f>
        <v>00385100</v>
      </c>
      <c r="G1318" t="s">
        <v>111</v>
      </c>
      <c r="H1318" t="s">
        <v>48</v>
      </c>
      <c r="I1318">
        <v>1620</v>
      </c>
      <c r="J1318" t="s">
        <v>21</v>
      </c>
      <c r="K1318">
        <v>0</v>
      </c>
      <c r="L1318" t="s">
        <v>35</v>
      </c>
      <c r="M1318">
        <v>858</v>
      </c>
    </row>
    <row r="1319" spans="1:13">
      <c r="A1319">
        <v>1313</v>
      </c>
      <c r="B1319">
        <v>64001</v>
      </c>
      <c r="C1319" t="s">
        <v>3098</v>
      </c>
      <c r="D1319" t="s">
        <v>260</v>
      </c>
      <c r="E1319" t="s">
        <v>3099</v>
      </c>
      <c r="F1319" t="str">
        <f>"00081020"</f>
        <v>00081020</v>
      </c>
      <c r="G1319" t="s">
        <v>3100</v>
      </c>
      <c r="H1319" t="s">
        <v>20</v>
      </c>
      <c r="I1319">
        <v>1536</v>
      </c>
      <c r="J1319" t="s">
        <v>21</v>
      </c>
      <c r="K1319">
        <v>6</v>
      </c>
      <c r="L1319" t="s">
        <v>35</v>
      </c>
      <c r="M1319">
        <v>900</v>
      </c>
    </row>
    <row r="1320" spans="1:13">
      <c r="A1320">
        <v>1314</v>
      </c>
      <c r="B1320">
        <v>109639</v>
      </c>
      <c r="C1320" t="s">
        <v>3101</v>
      </c>
      <c r="D1320" t="s">
        <v>566</v>
      </c>
      <c r="E1320" t="s">
        <v>3102</v>
      </c>
      <c r="F1320" t="str">
        <f>"00419020"</f>
        <v>00419020</v>
      </c>
      <c r="G1320" t="s">
        <v>488</v>
      </c>
      <c r="H1320" t="s">
        <v>20</v>
      </c>
      <c r="I1320">
        <v>1482</v>
      </c>
      <c r="J1320" t="s">
        <v>21</v>
      </c>
      <c r="K1320">
        <v>0</v>
      </c>
      <c r="L1320" t="s">
        <v>59</v>
      </c>
      <c r="M1320">
        <v>842</v>
      </c>
    </row>
    <row r="1321" spans="1:13">
      <c r="A1321">
        <v>1315</v>
      </c>
      <c r="B1321">
        <v>83214</v>
      </c>
      <c r="C1321" t="s">
        <v>3103</v>
      </c>
      <c r="D1321" t="s">
        <v>109</v>
      </c>
      <c r="E1321" t="s">
        <v>3104</v>
      </c>
      <c r="F1321" t="str">
        <f>"00284435"</f>
        <v>00284435</v>
      </c>
      <c r="G1321" t="s">
        <v>258</v>
      </c>
      <c r="H1321" t="s">
        <v>20</v>
      </c>
      <c r="I1321">
        <v>1484</v>
      </c>
      <c r="J1321" t="s">
        <v>21</v>
      </c>
      <c r="K1321">
        <v>0</v>
      </c>
      <c r="L1321" t="s">
        <v>35</v>
      </c>
      <c r="M1321">
        <v>950</v>
      </c>
    </row>
    <row r="1322" spans="1:13">
      <c r="A1322">
        <v>1316</v>
      </c>
      <c r="B1322">
        <v>115737</v>
      </c>
      <c r="C1322" t="s">
        <v>3105</v>
      </c>
      <c r="D1322" t="s">
        <v>121</v>
      </c>
      <c r="E1322" t="s">
        <v>3106</v>
      </c>
      <c r="F1322" t="str">
        <f>"00423198"</f>
        <v>00423198</v>
      </c>
      <c r="G1322" t="s">
        <v>258</v>
      </c>
      <c r="H1322" t="s">
        <v>20</v>
      </c>
      <c r="I1322">
        <v>1484</v>
      </c>
      <c r="J1322" t="s">
        <v>21</v>
      </c>
      <c r="K1322">
        <v>0</v>
      </c>
      <c r="M1322">
        <v>1388</v>
      </c>
    </row>
    <row r="1323" spans="1:13">
      <c r="A1323">
        <v>1317</v>
      </c>
      <c r="B1323">
        <v>68997</v>
      </c>
      <c r="C1323" t="s">
        <v>3107</v>
      </c>
      <c r="D1323" t="s">
        <v>94</v>
      </c>
      <c r="E1323" t="s">
        <v>3108</v>
      </c>
      <c r="F1323" t="str">
        <f>"00254001"</f>
        <v>00254001</v>
      </c>
      <c r="G1323" t="s">
        <v>207</v>
      </c>
      <c r="H1323" t="s">
        <v>20</v>
      </c>
      <c r="I1323">
        <v>1560</v>
      </c>
      <c r="J1323" t="s">
        <v>21</v>
      </c>
      <c r="K1323">
        <v>6</v>
      </c>
      <c r="L1323" t="s">
        <v>35</v>
      </c>
      <c r="M1323">
        <v>1108</v>
      </c>
    </row>
    <row r="1324" spans="1:13">
      <c r="A1324">
        <v>1318</v>
      </c>
      <c r="B1324">
        <v>51093</v>
      </c>
      <c r="C1324" t="s">
        <v>3109</v>
      </c>
      <c r="D1324" t="s">
        <v>76</v>
      </c>
      <c r="E1324" t="s">
        <v>3110</v>
      </c>
      <c r="F1324" t="str">
        <f>"00356297"</f>
        <v>00356297</v>
      </c>
      <c r="G1324" t="s">
        <v>92</v>
      </c>
      <c r="H1324" t="s">
        <v>20</v>
      </c>
      <c r="I1324">
        <v>1425</v>
      </c>
      <c r="J1324" t="s">
        <v>21</v>
      </c>
      <c r="K1324">
        <v>0</v>
      </c>
      <c r="L1324" t="s">
        <v>35</v>
      </c>
      <c r="M1324">
        <v>1250</v>
      </c>
    </row>
    <row r="1325" spans="1:13">
      <c r="A1325">
        <v>1319</v>
      </c>
      <c r="B1325">
        <v>55226</v>
      </c>
      <c r="C1325" t="s">
        <v>3111</v>
      </c>
      <c r="D1325" t="s">
        <v>109</v>
      </c>
      <c r="E1325" t="s">
        <v>3112</v>
      </c>
      <c r="F1325" t="str">
        <f>"00347499"</f>
        <v>00347499</v>
      </c>
      <c r="G1325" t="s">
        <v>974</v>
      </c>
      <c r="H1325" t="s">
        <v>20</v>
      </c>
      <c r="I1325">
        <v>1449</v>
      </c>
      <c r="J1325" t="s">
        <v>21</v>
      </c>
      <c r="K1325">
        <v>6</v>
      </c>
      <c r="M1325">
        <v>1328</v>
      </c>
    </row>
    <row r="1326" spans="1:13">
      <c r="A1326">
        <v>1320</v>
      </c>
      <c r="B1326">
        <v>81820</v>
      </c>
      <c r="C1326" t="s">
        <v>3113</v>
      </c>
      <c r="D1326" t="s">
        <v>563</v>
      </c>
      <c r="E1326" t="s">
        <v>3114</v>
      </c>
      <c r="F1326" t="str">
        <f>"00377653"</f>
        <v>00377653</v>
      </c>
      <c r="G1326" t="s">
        <v>47</v>
      </c>
      <c r="H1326" t="s">
        <v>48</v>
      </c>
      <c r="I1326">
        <v>1623</v>
      </c>
      <c r="J1326" t="s">
        <v>21</v>
      </c>
      <c r="K1326">
        <v>0</v>
      </c>
      <c r="L1326" t="s">
        <v>35</v>
      </c>
      <c r="M1326">
        <v>886</v>
      </c>
    </row>
    <row r="1327" spans="1:13">
      <c r="A1327">
        <v>1321</v>
      </c>
      <c r="B1327">
        <v>75515</v>
      </c>
      <c r="C1327" t="s">
        <v>3115</v>
      </c>
      <c r="D1327" t="s">
        <v>218</v>
      </c>
      <c r="E1327" t="s">
        <v>3116</v>
      </c>
      <c r="F1327" t="str">
        <f>"00386431"</f>
        <v>00386431</v>
      </c>
      <c r="G1327" t="s">
        <v>107</v>
      </c>
      <c r="H1327" t="s">
        <v>20</v>
      </c>
      <c r="I1327">
        <v>1472</v>
      </c>
      <c r="J1327" t="s">
        <v>21</v>
      </c>
      <c r="K1327">
        <v>0</v>
      </c>
      <c r="L1327" t="s">
        <v>88</v>
      </c>
      <c r="M1327">
        <v>808</v>
      </c>
    </row>
    <row r="1328" spans="1:13">
      <c r="A1328">
        <v>1322</v>
      </c>
      <c r="B1328">
        <v>93026</v>
      </c>
      <c r="C1328" t="s">
        <v>3115</v>
      </c>
      <c r="D1328" t="s">
        <v>145</v>
      </c>
      <c r="E1328" t="s">
        <v>3117</v>
      </c>
      <c r="F1328" t="str">
        <f>"00396911"</f>
        <v>00396911</v>
      </c>
      <c r="G1328" t="s">
        <v>862</v>
      </c>
      <c r="H1328" t="s">
        <v>48</v>
      </c>
      <c r="I1328">
        <v>1619</v>
      </c>
      <c r="J1328" t="s">
        <v>21</v>
      </c>
      <c r="K1328">
        <v>0</v>
      </c>
      <c r="M1328">
        <v>1775</v>
      </c>
    </row>
    <row r="1329" spans="1:13">
      <c r="A1329">
        <v>1323</v>
      </c>
      <c r="B1329">
        <v>104540</v>
      </c>
      <c r="C1329" t="s">
        <v>3115</v>
      </c>
      <c r="D1329" t="s">
        <v>121</v>
      </c>
      <c r="E1329" t="s">
        <v>3118</v>
      </c>
      <c r="F1329" t="str">
        <f>"00407955"</f>
        <v>00407955</v>
      </c>
      <c r="G1329" t="s">
        <v>47</v>
      </c>
      <c r="H1329" t="s">
        <v>48</v>
      </c>
      <c r="I1329">
        <v>1623</v>
      </c>
      <c r="J1329" t="s">
        <v>21</v>
      </c>
      <c r="K1329">
        <v>0</v>
      </c>
      <c r="L1329" t="s">
        <v>35</v>
      </c>
      <c r="M1329">
        <v>1108</v>
      </c>
    </row>
    <row r="1330" spans="1:13">
      <c r="A1330">
        <v>1324</v>
      </c>
      <c r="B1330">
        <v>67613</v>
      </c>
      <c r="C1330" t="s">
        <v>3119</v>
      </c>
      <c r="D1330" t="s">
        <v>105</v>
      </c>
      <c r="E1330" t="s">
        <v>3120</v>
      </c>
      <c r="F1330" t="str">
        <f>"00375138"</f>
        <v>00375138</v>
      </c>
      <c r="G1330" t="s">
        <v>3121</v>
      </c>
      <c r="H1330" t="s">
        <v>20</v>
      </c>
      <c r="I1330">
        <v>1491</v>
      </c>
      <c r="J1330" t="s">
        <v>21</v>
      </c>
      <c r="K1330">
        <v>0</v>
      </c>
      <c r="L1330" t="s">
        <v>35</v>
      </c>
      <c r="M1330">
        <v>1008</v>
      </c>
    </row>
    <row r="1331" spans="1:13">
      <c r="A1331">
        <v>1325</v>
      </c>
      <c r="B1331">
        <v>110682</v>
      </c>
      <c r="C1331" t="s">
        <v>3122</v>
      </c>
      <c r="D1331" t="s">
        <v>121</v>
      </c>
      <c r="E1331" t="s">
        <v>3123</v>
      </c>
      <c r="F1331" t="str">
        <f>"00022676"</f>
        <v>00022676</v>
      </c>
      <c r="G1331" t="s">
        <v>147</v>
      </c>
      <c r="H1331" t="s">
        <v>20</v>
      </c>
      <c r="I1331">
        <v>1529</v>
      </c>
      <c r="J1331" t="s">
        <v>21</v>
      </c>
      <c r="K1331">
        <v>0</v>
      </c>
      <c r="M1331">
        <v>1538</v>
      </c>
    </row>
    <row r="1332" spans="1:13">
      <c r="A1332">
        <v>1326</v>
      </c>
      <c r="B1332">
        <v>54548</v>
      </c>
      <c r="C1332" t="s">
        <v>3124</v>
      </c>
      <c r="D1332" t="s">
        <v>243</v>
      </c>
      <c r="E1332" t="s">
        <v>3125</v>
      </c>
      <c r="F1332" t="str">
        <f>"00265284"</f>
        <v>00265284</v>
      </c>
      <c r="G1332" t="s">
        <v>994</v>
      </c>
      <c r="H1332" t="s">
        <v>20</v>
      </c>
      <c r="I1332">
        <v>1522</v>
      </c>
      <c r="J1332" t="s">
        <v>21</v>
      </c>
      <c r="K1332">
        <v>0</v>
      </c>
      <c r="L1332" t="s">
        <v>35</v>
      </c>
      <c r="M1332">
        <v>925</v>
      </c>
    </row>
    <row r="1333" spans="1:13">
      <c r="A1333">
        <v>1327</v>
      </c>
      <c r="B1333">
        <v>103263</v>
      </c>
      <c r="C1333" t="s">
        <v>3126</v>
      </c>
      <c r="D1333" t="s">
        <v>180</v>
      </c>
      <c r="E1333" t="s">
        <v>3127</v>
      </c>
      <c r="F1333" t="str">
        <f>"00398097"</f>
        <v>00398097</v>
      </c>
      <c r="G1333" t="s">
        <v>100</v>
      </c>
      <c r="H1333" t="s">
        <v>20</v>
      </c>
      <c r="I1333">
        <v>1468</v>
      </c>
      <c r="J1333" t="s">
        <v>21</v>
      </c>
      <c r="K1333">
        <v>0</v>
      </c>
      <c r="L1333" t="s">
        <v>88</v>
      </c>
      <c r="M1333">
        <v>808</v>
      </c>
    </row>
    <row r="1334" spans="1:13">
      <c r="A1334">
        <v>1328</v>
      </c>
      <c r="B1334">
        <v>80311</v>
      </c>
      <c r="C1334" t="s">
        <v>3128</v>
      </c>
      <c r="D1334" t="s">
        <v>76</v>
      </c>
      <c r="E1334" t="s">
        <v>3129</v>
      </c>
      <c r="F1334" t="str">
        <f>"00379441"</f>
        <v>00379441</v>
      </c>
      <c r="G1334" t="s">
        <v>111</v>
      </c>
      <c r="H1334" t="s">
        <v>48</v>
      </c>
      <c r="I1334">
        <v>1620</v>
      </c>
      <c r="J1334" t="s">
        <v>21</v>
      </c>
      <c r="K1334">
        <v>0</v>
      </c>
      <c r="L1334" t="s">
        <v>35</v>
      </c>
      <c r="M1334">
        <v>900</v>
      </c>
    </row>
    <row r="1335" spans="1:13">
      <c r="A1335">
        <v>1329</v>
      </c>
      <c r="B1335">
        <v>61461</v>
      </c>
      <c r="C1335" t="s">
        <v>3130</v>
      </c>
      <c r="D1335" t="s">
        <v>80</v>
      </c>
      <c r="E1335" t="s">
        <v>3131</v>
      </c>
      <c r="F1335" t="str">
        <f>"00041655"</f>
        <v>00041655</v>
      </c>
      <c r="G1335" t="s">
        <v>561</v>
      </c>
      <c r="H1335" t="s">
        <v>20</v>
      </c>
      <c r="I1335">
        <v>1574</v>
      </c>
      <c r="J1335" t="s">
        <v>21</v>
      </c>
      <c r="K1335">
        <v>0</v>
      </c>
      <c r="L1335" t="s">
        <v>35</v>
      </c>
      <c r="M1335">
        <v>885</v>
      </c>
    </row>
    <row r="1336" spans="1:13">
      <c r="A1336">
        <v>1330</v>
      </c>
      <c r="B1336">
        <v>57197</v>
      </c>
      <c r="C1336" t="s">
        <v>3132</v>
      </c>
      <c r="D1336" t="s">
        <v>3133</v>
      </c>
      <c r="E1336" t="s">
        <v>3134</v>
      </c>
      <c r="F1336" t="str">
        <f>"00309002"</f>
        <v>00309002</v>
      </c>
      <c r="G1336" t="s">
        <v>683</v>
      </c>
      <c r="H1336" t="s">
        <v>535</v>
      </c>
      <c r="I1336">
        <v>1670</v>
      </c>
      <c r="J1336" t="s">
        <v>21</v>
      </c>
      <c r="K1336">
        <v>0</v>
      </c>
      <c r="L1336" t="s">
        <v>35</v>
      </c>
      <c r="M1336">
        <v>1008</v>
      </c>
    </row>
    <row r="1337" spans="1:13">
      <c r="A1337">
        <v>1331</v>
      </c>
      <c r="B1337">
        <v>59165</v>
      </c>
      <c r="C1337" t="s">
        <v>3135</v>
      </c>
      <c r="D1337" t="s">
        <v>76</v>
      </c>
      <c r="E1337" t="s">
        <v>3136</v>
      </c>
      <c r="F1337" t="str">
        <f>"00370044"</f>
        <v>00370044</v>
      </c>
      <c r="G1337" t="s">
        <v>1125</v>
      </c>
      <c r="H1337" t="s">
        <v>20</v>
      </c>
      <c r="I1337">
        <v>1431</v>
      </c>
      <c r="J1337" t="s">
        <v>21</v>
      </c>
      <c r="K1337">
        <v>0</v>
      </c>
      <c r="L1337" t="s">
        <v>35</v>
      </c>
      <c r="M1337">
        <v>1025</v>
      </c>
    </row>
    <row r="1338" spans="1:13">
      <c r="A1338">
        <v>1332</v>
      </c>
      <c r="B1338">
        <v>110209</v>
      </c>
      <c r="C1338" t="s">
        <v>3137</v>
      </c>
      <c r="D1338" t="s">
        <v>180</v>
      </c>
      <c r="E1338" t="s">
        <v>3138</v>
      </c>
      <c r="F1338" t="str">
        <f>"00417373"</f>
        <v>00417373</v>
      </c>
      <c r="G1338" t="s">
        <v>531</v>
      </c>
      <c r="H1338" t="s">
        <v>20</v>
      </c>
      <c r="I1338">
        <v>1445</v>
      </c>
      <c r="J1338" t="s">
        <v>21</v>
      </c>
      <c r="K1338">
        <v>0</v>
      </c>
      <c r="L1338" t="s">
        <v>35</v>
      </c>
      <c r="M1338">
        <v>1100</v>
      </c>
    </row>
    <row r="1339" spans="1:13">
      <c r="A1339">
        <v>1333</v>
      </c>
      <c r="B1339">
        <v>104859</v>
      </c>
      <c r="C1339" t="s">
        <v>3139</v>
      </c>
      <c r="D1339" t="s">
        <v>243</v>
      </c>
      <c r="E1339" t="s">
        <v>3140</v>
      </c>
      <c r="F1339" t="str">
        <f>"201402008998"</f>
        <v>201402008998</v>
      </c>
      <c r="G1339" t="s">
        <v>47</v>
      </c>
      <c r="H1339" t="s">
        <v>48</v>
      </c>
      <c r="I1339">
        <v>1623</v>
      </c>
      <c r="J1339" t="s">
        <v>21</v>
      </c>
      <c r="K1339">
        <v>0</v>
      </c>
      <c r="L1339" t="s">
        <v>83</v>
      </c>
      <c r="M1339">
        <v>1268</v>
      </c>
    </row>
    <row r="1340" spans="1:13">
      <c r="A1340">
        <v>1334</v>
      </c>
      <c r="B1340">
        <v>46548</v>
      </c>
      <c r="C1340" t="s">
        <v>3141</v>
      </c>
      <c r="D1340" t="s">
        <v>90</v>
      </c>
      <c r="E1340" t="s">
        <v>3142</v>
      </c>
      <c r="F1340" t="str">
        <f>"00320165"</f>
        <v>00320165</v>
      </c>
      <c r="G1340" t="s">
        <v>258</v>
      </c>
      <c r="H1340" t="s">
        <v>20</v>
      </c>
      <c r="I1340">
        <v>1484</v>
      </c>
      <c r="J1340" t="s">
        <v>21</v>
      </c>
      <c r="K1340">
        <v>0</v>
      </c>
      <c r="L1340" t="s">
        <v>35</v>
      </c>
      <c r="M1340">
        <v>875</v>
      </c>
    </row>
    <row r="1341" spans="1:13">
      <c r="A1341">
        <v>1335</v>
      </c>
      <c r="B1341">
        <v>76053</v>
      </c>
      <c r="C1341" t="s">
        <v>3143</v>
      </c>
      <c r="D1341" t="s">
        <v>243</v>
      </c>
      <c r="E1341" t="s">
        <v>3144</v>
      </c>
      <c r="F1341" t="str">
        <f>"201511011833"</f>
        <v>201511011833</v>
      </c>
      <c r="G1341" t="s">
        <v>78</v>
      </c>
      <c r="H1341" t="s">
        <v>20</v>
      </c>
      <c r="I1341">
        <v>1460</v>
      </c>
      <c r="J1341" t="s">
        <v>21</v>
      </c>
      <c r="K1341">
        <v>0</v>
      </c>
      <c r="M1341">
        <v>1728</v>
      </c>
    </row>
    <row r="1342" spans="1:13">
      <c r="A1342">
        <v>1336</v>
      </c>
      <c r="B1342">
        <v>65158</v>
      </c>
      <c r="C1342" t="s">
        <v>3145</v>
      </c>
      <c r="D1342" t="s">
        <v>145</v>
      </c>
      <c r="E1342" t="s">
        <v>3146</v>
      </c>
      <c r="F1342" t="str">
        <f>"00021268"</f>
        <v>00021268</v>
      </c>
      <c r="G1342" t="s">
        <v>1239</v>
      </c>
      <c r="H1342" t="s">
        <v>1296</v>
      </c>
      <c r="I1342">
        <v>1638</v>
      </c>
      <c r="J1342" t="s">
        <v>21</v>
      </c>
      <c r="K1342">
        <v>0</v>
      </c>
      <c r="M1342">
        <v>1488</v>
      </c>
    </row>
    <row r="1343" spans="1:13">
      <c r="A1343">
        <v>1337</v>
      </c>
      <c r="B1343">
        <v>47940</v>
      </c>
      <c r="C1343" t="s">
        <v>3147</v>
      </c>
      <c r="D1343" t="s">
        <v>121</v>
      </c>
      <c r="E1343" t="s">
        <v>3148</v>
      </c>
      <c r="F1343" t="str">
        <f>"00155368"</f>
        <v>00155368</v>
      </c>
      <c r="G1343" t="s">
        <v>2768</v>
      </c>
      <c r="H1343" t="s">
        <v>20</v>
      </c>
      <c r="I1343">
        <v>1409</v>
      </c>
      <c r="J1343" t="s">
        <v>21</v>
      </c>
      <c r="K1343">
        <v>0</v>
      </c>
      <c r="L1343" t="s">
        <v>88</v>
      </c>
      <c r="M1343">
        <v>600</v>
      </c>
    </row>
    <row r="1344" spans="1:13">
      <c r="A1344">
        <v>1338</v>
      </c>
      <c r="B1344">
        <v>58475</v>
      </c>
      <c r="C1344" t="s">
        <v>3149</v>
      </c>
      <c r="D1344" t="s">
        <v>180</v>
      </c>
      <c r="E1344" t="s">
        <v>3150</v>
      </c>
      <c r="F1344" t="str">
        <f>"00380766"</f>
        <v>00380766</v>
      </c>
      <c r="G1344" t="s">
        <v>19</v>
      </c>
      <c r="H1344" t="s">
        <v>20</v>
      </c>
      <c r="I1344">
        <v>1531</v>
      </c>
      <c r="J1344" t="s">
        <v>21</v>
      </c>
      <c r="K1344">
        <v>0</v>
      </c>
      <c r="L1344" t="s">
        <v>88</v>
      </c>
      <c r="M1344">
        <v>500</v>
      </c>
    </row>
    <row r="1345" spans="1:13">
      <c r="A1345">
        <v>1339</v>
      </c>
      <c r="B1345">
        <v>78386</v>
      </c>
      <c r="C1345" t="s">
        <v>3151</v>
      </c>
      <c r="D1345" t="s">
        <v>726</v>
      </c>
      <c r="E1345" t="s">
        <v>3152</v>
      </c>
      <c r="F1345" t="str">
        <f>"00257627"</f>
        <v>00257627</v>
      </c>
      <c r="G1345" t="s">
        <v>215</v>
      </c>
      <c r="H1345" t="s">
        <v>216</v>
      </c>
      <c r="I1345">
        <v>1708</v>
      </c>
      <c r="J1345" t="s">
        <v>21</v>
      </c>
      <c r="K1345">
        <v>6</v>
      </c>
      <c r="L1345" t="s">
        <v>35</v>
      </c>
      <c r="M1345">
        <v>802</v>
      </c>
    </row>
    <row r="1346" spans="1:13">
      <c r="A1346">
        <v>1340</v>
      </c>
      <c r="B1346">
        <v>93422</v>
      </c>
      <c r="C1346" t="s">
        <v>3153</v>
      </c>
      <c r="D1346" t="s">
        <v>105</v>
      </c>
      <c r="E1346" t="s">
        <v>3154</v>
      </c>
      <c r="F1346" t="str">
        <f>"00251043"</f>
        <v>00251043</v>
      </c>
      <c r="G1346" t="s">
        <v>1995</v>
      </c>
      <c r="H1346" t="s">
        <v>20</v>
      </c>
      <c r="I1346">
        <v>1508</v>
      </c>
      <c r="J1346" t="s">
        <v>21</v>
      </c>
      <c r="K1346">
        <v>0</v>
      </c>
      <c r="L1346" t="s">
        <v>88</v>
      </c>
      <c r="M1346">
        <v>785</v>
      </c>
    </row>
    <row r="1347" spans="1:13">
      <c r="A1347">
        <v>1341</v>
      </c>
      <c r="B1347">
        <v>106007</v>
      </c>
      <c r="C1347" t="s">
        <v>3155</v>
      </c>
      <c r="D1347" t="s">
        <v>566</v>
      </c>
      <c r="E1347" t="s">
        <v>3156</v>
      </c>
      <c r="F1347" t="str">
        <f>"00370182"</f>
        <v>00370182</v>
      </c>
      <c r="G1347" t="s">
        <v>19</v>
      </c>
      <c r="H1347" t="s">
        <v>20</v>
      </c>
      <c r="I1347">
        <v>1531</v>
      </c>
      <c r="J1347" t="s">
        <v>21</v>
      </c>
      <c r="K1347">
        <v>0</v>
      </c>
      <c r="M1347">
        <v>1378</v>
      </c>
    </row>
    <row r="1348" spans="1:13">
      <c r="A1348">
        <v>1342</v>
      </c>
      <c r="B1348">
        <v>104206</v>
      </c>
      <c r="C1348" t="s">
        <v>3157</v>
      </c>
      <c r="D1348" t="s">
        <v>243</v>
      </c>
      <c r="E1348" t="s">
        <v>3158</v>
      </c>
      <c r="F1348" t="str">
        <f>"00230668"</f>
        <v>00230668</v>
      </c>
      <c r="G1348" t="s">
        <v>325</v>
      </c>
      <c r="H1348" t="s">
        <v>326</v>
      </c>
      <c r="I1348">
        <v>1592</v>
      </c>
      <c r="J1348" t="s">
        <v>21</v>
      </c>
      <c r="K1348">
        <v>0</v>
      </c>
      <c r="M1348">
        <v>1488</v>
      </c>
    </row>
    <row r="1349" spans="1:13">
      <c r="A1349">
        <v>1343</v>
      </c>
      <c r="B1349">
        <v>55598</v>
      </c>
      <c r="C1349" t="s">
        <v>3159</v>
      </c>
      <c r="D1349" t="s">
        <v>557</v>
      </c>
      <c r="E1349" t="s">
        <v>3160</v>
      </c>
      <c r="F1349" t="str">
        <f>"00068631"</f>
        <v>00068631</v>
      </c>
      <c r="G1349" t="s">
        <v>2443</v>
      </c>
      <c r="H1349" t="s">
        <v>20</v>
      </c>
      <c r="I1349">
        <v>1543</v>
      </c>
      <c r="J1349" t="s">
        <v>21</v>
      </c>
      <c r="K1349">
        <v>6</v>
      </c>
      <c r="M1349">
        <v>1780</v>
      </c>
    </row>
    <row r="1350" spans="1:13">
      <c r="A1350">
        <v>1344</v>
      </c>
      <c r="B1350">
        <v>49780</v>
      </c>
      <c r="C1350" t="s">
        <v>3161</v>
      </c>
      <c r="D1350" t="s">
        <v>145</v>
      </c>
      <c r="E1350" t="s">
        <v>3162</v>
      </c>
      <c r="F1350" t="str">
        <f>"00243108"</f>
        <v>00243108</v>
      </c>
      <c r="G1350" t="s">
        <v>465</v>
      </c>
      <c r="H1350" t="s">
        <v>20</v>
      </c>
      <c r="I1350">
        <v>1534</v>
      </c>
      <c r="J1350" t="s">
        <v>21</v>
      </c>
      <c r="K1350">
        <v>0</v>
      </c>
      <c r="L1350" t="s">
        <v>35</v>
      </c>
      <c r="M1350">
        <v>858</v>
      </c>
    </row>
    <row r="1351" spans="1:13">
      <c r="A1351">
        <v>1345</v>
      </c>
      <c r="B1351">
        <v>65411</v>
      </c>
      <c r="C1351" t="s">
        <v>3163</v>
      </c>
      <c r="D1351" t="s">
        <v>145</v>
      </c>
      <c r="E1351" t="s">
        <v>3164</v>
      </c>
      <c r="F1351" t="str">
        <f>"00347722"</f>
        <v>00347722</v>
      </c>
      <c r="G1351" t="s">
        <v>215</v>
      </c>
      <c r="H1351" t="s">
        <v>216</v>
      </c>
      <c r="I1351">
        <v>1708</v>
      </c>
      <c r="J1351" t="s">
        <v>21</v>
      </c>
      <c r="K1351">
        <v>6</v>
      </c>
      <c r="L1351" t="s">
        <v>35</v>
      </c>
      <c r="M1351">
        <v>821</v>
      </c>
    </row>
    <row r="1352" spans="1:13">
      <c r="A1352">
        <v>1346</v>
      </c>
      <c r="B1352">
        <v>87859</v>
      </c>
      <c r="C1352" t="s">
        <v>3165</v>
      </c>
      <c r="D1352" t="s">
        <v>145</v>
      </c>
      <c r="E1352" t="s">
        <v>3166</v>
      </c>
      <c r="F1352" t="str">
        <f>"201412006968"</f>
        <v>201412006968</v>
      </c>
      <c r="G1352" t="s">
        <v>111</v>
      </c>
      <c r="H1352" t="s">
        <v>48</v>
      </c>
      <c r="I1352">
        <v>1620</v>
      </c>
      <c r="J1352" t="s">
        <v>21</v>
      </c>
      <c r="K1352">
        <v>0</v>
      </c>
      <c r="L1352" t="s">
        <v>35</v>
      </c>
      <c r="M1352">
        <v>853</v>
      </c>
    </row>
    <row r="1353" spans="1:13">
      <c r="A1353">
        <v>1347</v>
      </c>
      <c r="B1353">
        <v>115925</v>
      </c>
      <c r="C1353" t="s">
        <v>3167</v>
      </c>
      <c r="D1353" t="s">
        <v>566</v>
      </c>
      <c r="E1353" t="s">
        <v>3168</v>
      </c>
      <c r="F1353" t="str">
        <f>"00420635"</f>
        <v>00420635</v>
      </c>
      <c r="G1353" t="s">
        <v>47</v>
      </c>
      <c r="H1353" t="s">
        <v>48</v>
      </c>
      <c r="I1353">
        <v>1623</v>
      </c>
      <c r="J1353" t="s">
        <v>21</v>
      </c>
      <c r="K1353">
        <v>0</v>
      </c>
      <c r="L1353" t="s">
        <v>35</v>
      </c>
      <c r="M1353">
        <v>858</v>
      </c>
    </row>
    <row r="1354" spans="1:13">
      <c r="A1354">
        <v>1348</v>
      </c>
      <c r="B1354">
        <v>74511</v>
      </c>
      <c r="C1354" t="s">
        <v>3169</v>
      </c>
      <c r="D1354" t="s">
        <v>628</v>
      </c>
      <c r="E1354" t="s">
        <v>3170</v>
      </c>
      <c r="F1354" t="str">
        <f>"201511018319"</f>
        <v>201511018319</v>
      </c>
      <c r="G1354" t="s">
        <v>2025</v>
      </c>
      <c r="H1354" t="s">
        <v>20</v>
      </c>
      <c r="I1354">
        <v>1570</v>
      </c>
      <c r="J1354" t="s">
        <v>21</v>
      </c>
      <c r="K1354">
        <v>6</v>
      </c>
      <c r="L1354" t="s">
        <v>35</v>
      </c>
      <c r="M1354">
        <v>1150</v>
      </c>
    </row>
    <row r="1355" spans="1:13">
      <c r="A1355">
        <v>1349</v>
      </c>
      <c r="B1355">
        <v>77531</v>
      </c>
      <c r="C1355" t="s">
        <v>3171</v>
      </c>
      <c r="D1355" t="s">
        <v>2454</v>
      </c>
      <c r="E1355" t="s">
        <v>3172</v>
      </c>
      <c r="F1355" t="str">
        <f>"00262300"</f>
        <v>00262300</v>
      </c>
      <c r="G1355" t="s">
        <v>341</v>
      </c>
      <c r="H1355" t="s">
        <v>20</v>
      </c>
      <c r="I1355">
        <v>1553</v>
      </c>
      <c r="J1355" t="s">
        <v>21</v>
      </c>
      <c r="K1355">
        <v>6</v>
      </c>
      <c r="M1355">
        <v>1353</v>
      </c>
    </row>
    <row r="1356" spans="1:13">
      <c r="A1356">
        <v>1350</v>
      </c>
      <c r="B1356">
        <v>70130</v>
      </c>
      <c r="C1356" t="s">
        <v>3173</v>
      </c>
      <c r="D1356" t="s">
        <v>105</v>
      </c>
      <c r="E1356" t="s">
        <v>3174</v>
      </c>
      <c r="F1356" t="str">
        <f>"00282459"</f>
        <v>00282459</v>
      </c>
      <c r="G1356" t="s">
        <v>395</v>
      </c>
      <c r="H1356" t="s">
        <v>234</v>
      </c>
      <c r="I1356">
        <v>1336</v>
      </c>
      <c r="J1356" t="s">
        <v>21</v>
      </c>
      <c r="K1356">
        <v>0</v>
      </c>
      <c r="L1356" t="s">
        <v>35</v>
      </c>
      <c r="M1356">
        <v>958</v>
      </c>
    </row>
    <row r="1357" spans="1:13">
      <c r="A1357">
        <v>1351</v>
      </c>
      <c r="B1357">
        <v>55502</v>
      </c>
      <c r="C1357" t="s">
        <v>3175</v>
      </c>
      <c r="D1357" t="s">
        <v>566</v>
      </c>
      <c r="E1357" t="s">
        <v>3176</v>
      </c>
      <c r="F1357" t="str">
        <f>"00094297"</f>
        <v>00094297</v>
      </c>
      <c r="G1357" t="s">
        <v>1155</v>
      </c>
      <c r="H1357" t="s">
        <v>20</v>
      </c>
      <c r="I1357">
        <v>1480</v>
      </c>
      <c r="J1357" t="s">
        <v>21</v>
      </c>
      <c r="K1357">
        <v>0</v>
      </c>
      <c r="L1357" t="s">
        <v>88</v>
      </c>
      <c r="M1357">
        <v>800</v>
      </c>
    </row>
    <row r="1358" spans="1:13">
      <c r="A1358">
        <v>1352</v>
      </c>
      <c r="B1358">
        <v>63195</v>
      </c>
      <c r="C1358" t="s">
        <v>3177</v>
      </c>
      <c r="D1358" t="s">
        <v>3178</v>
      </c>
      <c r="E1358" t="s">
        <v>3179</v>
      </c>
      <c r="F1358" t="str">
        <f>"00347601"</f>
        <v>00347601</v>
      </c>
      <c r="G1358" t="s">
        <v>215</v>
      </c>
      <c r="H1358" t="s">
        <v>216</v>
      </c>
      <c r="I1358">
        <v>1708</v>
      </c>
      <c r="J1358" t="s">
        <v>21</v>
      </c>
      <c r="K1358">
        <v>6</v>
      </c>
      <c r="M1358">
        <v>1278</v>
      </c>
    </row>
    <row r="1359" spans="1:13">
      <c r="A1359">
        <v>1353</v>
      </c>
      <c r="B1359">
        <v>84541</v>
      </c>
      <c r="C1359" t="s">
        <v>3180</v>
      </c>
      <c r="D1359" t="s">
        <v>700</v>
      </c>
      <c r="E1359" t="s">
        <v>3181</v>
      </c>
      <c r="F1359" t="str">
        <f>"201402005287"</f>
        <v>201402005287</v>
      </c>
      <c r="G1359" t="s">
        <v>1695</v>
      </c>
      <c r="H1359" t="s">
        <v>20</v>
      </c>
      <c r="I1359">
        <v>1533</v>
      </c>
      <c r="J1359" t="s">
        <v>21</v>
      </c>
      <c r="K1359">
        <v>0</v>
      </c>
      <c r="L1359" t="s">
        <v>35</v>
      </c>
      <c r="M1359">
        <v>900</v>
      </c>
    </row>
    <row r="1360" spans="1:13">
      <c r="A1360">
        <v>1354</v>
      </c>
      <c r="B1360">
        <v>51105</v>
      </c>
      <c r="C1360" t="s">
        <v>3182</v>
      </c>
      <c r="D1360" t="s">
        <v>109</v>
      </c>
      <c r="E1360" t="s">
        <v>3183</v>
      </c>
      <c r="F1360" t="str">
        <f>"201406009716"</f>
        <v>201406009716</v>
      </c>
      <c r="G1360" t="s">
        <v>600</v>
      </c>
      <c r="H1360" t="s">
        <v>1820</v>
      </c>
      <c r="I1360">
        <v>1721</v>
      </c>
      <c r="J1360" t="s">
        <v>21</v>
      </c>
      <c r="K1360">
        <v>0</v>
      </c>
      <c r="L1360" t="s">
        <v>35</v>
      </c>
      <c r="M1360">
        <v>1047</v>
      </c>
    </row>
    <row r="1361" spans="1:13">
      <c r="A1361">
        <v>1355</v>
      </c>
      <c r="B1361">
        <v>115209</v>
      </c>
      <c r="C1361" t="s">
        <v>3184</v>
      </c>
      <c r="D1361" t="s">
        <v>105</v>
      </c>
      <c r="E1361" t="s">
        <v>3185</v>
      </c>
      <c r="F1361" t="str">
        <f>"00408296"</f>
        <v>00408296</v>
      </c>
      <c r="G1361" t="s">
        <v>233</v>
      </c>
      <c r="H1361" t="s">
        <v>3186</v>
      </c>
      <c r="I1361">
        <v>1660</v>
      </c>
      <c r="J1361" t="s">
        <v>21</v>
      </c>
      <c r="K1361">
        <v>6</v>
      </c>
      <c r="M1361">
        <v>1088</v>
      </c>
    </row>
    <row r="1362" spans="1:13">
      <c r="A1362">
        <v>1356</v>
      </c>
      <c r="B1362">
        <v>58994</v>
      </c>
      <c r="C1362" t="s">
        <v>3187</v>
      </c>
      <c r="D1362" t="s">
        <v>105</v>
      </c>
      <c r="E1362" t="s">
        <v>3188</v>
      </c>
      <c r="F1362" t="str">
        <f>"00374312"</f>
        <v>00374312</v>
      </c>
      <c r="G1362" t="s">
        <v>47</v>
      </c>
      <c r="H1362" t="s">
        <v>48</v>
      </c>
      <c r="I1362">
        <v>1623</v>
      </c>
      <c r="J1362" t="s">
        <v>21</v>
      </c>
      <c r="K1362">
        <v>0</v>
      </c>
      <c r="M1362">
        <v>1363</v>
      </c>
    </row>
    <row r="1363" spans="1:13">
      <c r="A1363">
        <v>1357</v>
      </c>
      <c r="B1363">
        <v>75317</v>
      </c>
      <c r="C1363" t="s">
        <v>3189</v>
      </c>
      <c r="D1363" t="s">
        <v>76</v>
      </c>
      <c r="E1363" t="s">
        <v>3190</v>
      </c>
      <c r="F1363" t="str">
        <f>"00399850"</f>
        <v>00399850</v>
      </c>
      <c r="G1363" t="s">
        <v>19</v>
      </c>
      <c r="H1363" t="s">
        <v>20</v>
      </c>
      <c r="I1363">
        <v>1531</v>
      </c>
      <c r="J1363" t="s">
        <v>21</v>
      </c>
      <c r="K1363">
        <v>0</v>
      </c>
      <c r="L1363" t="s">
        <v>88</v>
      </c>
      <c r="M1363">
        <v>550</v>
      </c>
    </row>
    <row r="1364" spans="1:13">
      <c r="A1364">
        <v>1358</v>
      </c>
      <c r="B1364">
        <v>113046</v>
      </c>
      <c r="C1364" t="s">
        <v>3191</v>
      </c>
      <c r="D1364" t="s">
        <v>3192</v>
      </c>
      <c r="E1364" t="s">
        <v>3193</v>
      </c>
      <c r="F1364" t="str">
        <f>"201010000164"</f>
        <v>201010000164</v>
      </c>
      <c r="G1364" t="s">
        <v>721</v>
      </c>
      <c r="H1364" t="s">
        <v>20</v>
      </c>
      <c r="I1364">
        <v>1575</v>
      </c>
      <c r="J1364" t="s">
        <v>21</v>
      </c>
      <c r="K1364">
        <v>0</v>
      </c>
      <c r="L1364" t="s">
        <v>35</v>
      </c>
      <c r="M1364">
        <v>904</v>
      </c>
    </row>
    <row r="1365" spans="1:13">
      <c r="A1365">
        <v>1359</v>
      </c>
      <c r="B1365">
        <v>82187</v>
      </c>
      <c r="C1365" t="s">
        <v>3194</v>
      </c>
      <c r="D1365" t="s">
        <v>563</v>
      </c>
      <c r="E1365" t="s">
        <v>3195</v>
      </c>
      <c r="F1365" t="str">
        <f>"00403516"</f>
        <v>00403516</v>
      </c>
      <c r="G1365" t="s">
        <v>1234</v>
      </c>
      <c r="H1365" t="s">
        <v>20</v>
      </c>
      <c r="I1365">
        <v>1548</v>
      </c>
      <c r="J1365" t="s">
        <v>21</v>
      </c>
      <c r="K1365">
        <v>0</v>
      </c>
      <c r="L1365" t="s">
        <v>35</v>
      </c>
      <c r="M1365">
        <v>985</v>
      </c>
    </row>
    <row r="1366" spans="1:13">
      <c r="A1366">
        <v>1360</v>
      </c>
      <c r="B1366">
        <v>54204</v>
      </c>
      <c r="C1366" t="s">
        <v>3196</v>
      </c>
      <c r="D1366" t="s">
        <v>566</v>
      </c>
      <c r="E1366" t="s">
        <v>3197</v>
      </c>
      <c r="F1366" t="str">
        <f>"00355366"</f>
        <v>00355366</v>
      </c>
      <c r="G1366" t="s">
        <v>520</v>
      </c>
      <c r="H1366" t="s">
        <v>20</v>
      </c>
      <c r="I1366">
        <v>1540</v>
      </c>
      <c r="J1366" t="s">
        <v>21</v>
      </c>
      <c r="K1366">
        <v>0</v>
      </c>
      <c r="M1366">
        <v>1488</v>
      </c>
    </row>
    <row r="1367" spans="1:13">
      <c r="A1367">
        <v>1361</v>
      </c>
      <c r="B1367">
        <v>63948</v>
      </c>
      <c r="C1367" t="s">
        <v>3198</v>
      </c>
      <c r="D1367" t="s">
        <v>507</v>
      </c>
      <c r="E1367" t="s">
        <v>3199</v>
      </c>
      <c r="F1367" t="str">
        <f>"00256439"</f>
        <v>00256439</v>
      </c>
      <c r="G1367" t="s">
        <v>258</v>
      </c>
      <c r="H1367" t="s">
        <v>20</v>
      </c>
      <c r="I1367">
        <v>1484</v>
      </c>
      <c r="J1367" t="s">
        <v>21</v>
      </c>
      <c r="K1367">
        <v>0</v>
      </c>
      <c r="M1367">
        <v>1418</v>
      </c>
    </row>
    <row r="1368" spans="1:13">
      <c r="A1368">
        <v>1362</v>
      </c>
      <c r="B1368">
        <v>94838</v>
      </c>
      <c r="C1368" t="s">
        <v>3200</v>
      </c>
      <c r="D1368" t="s">
        <v>905</v>
      </c>
      <c r="E1368" t="s">
        <v>3201</v>
      </c>
      <c r="F1368" t="str">
        <f>"00041032"</f>
        <v>00041032</v>
      </c>
      <c r="G1368" t="s">
        <v>488</v>
      </c>
      <c r="H1368" t="s">
        <v>20</v>
      </c>
      <c r="I1368">
        <v>1482</v>
      </c>
      <c r="J1368" t="s">
        <v>21</v>
      </c>
      <c r="K1368">
        <v>0</v>
      </c>
      <c r="M1368">
        <v>1288</v>
      </c>
    </row>
    <row r="1369" spans="1:13">
      <c r="A1369">
        <v>1363</v>
      </c>
      <c r="B1369">
        <v>68052</v>
      </c>
      <c r="C1369" t="s">
        <v>3202</v>
      </c>
      <c r="D1369" t="s">
        <v>243</v>
      </c>
      <c r="E1369" t="s">
        <v>3203</v>
      </c>
      <c r="F1369" t="str">
        <f>"00400493"</f>
        <v>00400493</v>
      </c>
      <c r="G1369" t="s">
        <v>230</v>
      </c>
      <c r="H1369" t="s">
        <v>20</v>
      </c>
      <c r="I1369">
        <v>1545</v>
      </c>
      <c r="J1369" t="s">
        <v>21</v>
      </c>
      <c r="K1369">
        <v>0</v>
      </c>
      <c r="L1369" t="s">
        <v>35</v>
      </c>
      <c r="M1369">
        <v>958</v>
      </c>
    </row>
    <row r="1370" spans="1:13">
      <c r="A1370">
        <v>1364</v>
      </c>
      <c r="B1370">
        <v>58646</v>
      </c>
      <c r="C1370" t="s">
        <v>3204</v>
      </c>
      <c r="D1370" t="s">
        <v>76</v>
      </c>
      <c r="E1370" t="s">
        <v>3205</v>
      </c>
      <c r="F1370" t="str">
        <f>"201306000069"</f>
        <v>201306000069</v>
      </c>
      <c r="G1370" t="s">
        <v>600</v>
      </c>
      <c r="H1370" t="s">
        <v>366</v>
      </c>
      <c r="I1370">
        <v>1694</v>
      </c>
      <c r="J1370" t="s">
        <v>21</v>
      </c>
      <c r="K1370">
        <v>0</v>
      </c>
      <c r="M1370">
        <v>1463</v>
      </c>
    </row>
    <row r="1371" spans="1:13">
      <c r="A1371">
        <v>1365</v>
      </c>
      <c r="B1371">
        <v>68385</v>
      </c>
      <c r="C1371" t="s">
        <v>3206</v>
      </c>
      <c r="D1371" t="s">
        <v>145</v>
      </c>
      <c r="E1371" t="s">
        <v>3207</v>
      </c>
      <c r="F1371" t="str">
        <f>"00229832"</f>
        <v>00229832</v>
      </c>
      <c r="G1371" t="s">
        <v>1869</v>
      </c>
      <c r="H1371" t="s">
        <v>20</v>
      </c>
      <c r="I1371">
        <v>1473</v>
      </c>
      <c r="J1371" t="s">
        <v>21</v>
      </c>
      <c r="K1371">
        <v>0</v>
      </c>
      <c r="L1371" t="s">
        <v>35</v>
      </c>
      <c r="M1371">
        <v>936</v>
      </c>
    </row>
    <row r="1372" spans="1:13">
      <c r="A1372">
        <v>1366</v>
      </c>
      <c r="B1372">
        <v>114336</v>
      </c>
      <c r="C1372" t="s">
        <v>3208</v>
      </c>
      <c r="D1372" t="s">
        <v>557</v>
      </c>
      <c r="E1372" t="s">
        <v>3209</v>
      </c>
      <c r="F1372" t="str">
        <f>"00333784"</f>
        <v>00333784</v>
      </c>
      <c r="G1372" t="s">
        <v>540</v>
      </c>
      <c r="H1372" t="s">
        <v>20</v>
      </c>
      <c r="I1372">
        <v>1435</v>
      </c>
      <c r="J1372" t="s">
        <v>21</v>
      </c>
      <c r="K1372">
        <v>0</v>
      </c>
      <c r="L1372" t="s">
        <v>59</v>
      </c>
      <c r="M1372">
        <v>908</v>
      </c>
    </row>
    <row r="1373" spans="1:13">
      <c r="A1373">
        <v>1367</v>
      </c>
      <c r="B1373">
        <v>97100</v>
      </c>
      <c r="C1373" t="s">
        <v>3210</v>
      </c>
      <c r="D1373" t="s">
        <v>105</v>
      </c>
      <c r="E1373" t="s">
        <v>3211</v>
      </c>
      <c r="F1373" t="str">
        <f>"201511042108"</f>
        <v>201511042108</v>
      </c>
      <c r="G1373" t="s">
        <v>107</v>
      </c>
      <c r="H1373" t="s">
        <v>20</v>
      </c>
      <c r="I1373">
        <v>1472</v>
      </c>
      <c r="J1373" t="s">
        <v>21</v>
      </c>
      <c r="K1373">
        <v>0</v>
      </c>
      <c r="L1373" t="s">
        <v>35</v>
      </c>
      <c r="M1373">
        <v>908</v>
      </c>
    </row>
    <row r="1374" spans="1:13">
      <c r="A1374">
        <v>1368</v>
      </c>
      <c r="B1374">
        <v>105621</v>
      </c>
      <c r="C1374" t="s">
        <v>3212</v>
      </c>
      <c r="D1374" t="s">
        <v>80</v>
      </c>
      <c r="E1374" t="s">
        <v>3213</v>
      </c>
      <c r="F1374" t="str">
        <f>"00272480"</f>
        <v>00272480</v>
      </c>
      <c r="G1374" t="s">
        <v>47</v>
      </c>
      <c r="H1374" t="s">
        <v>48</v>
      </c>
      <c r="I1374">
        <v>1623</v>
      </c>
      <c r="J1374" t="s">
        <v>21</v>
      </c>
      <c r="K1374">
        <v>0</v>
      </c>
      <c r="L1374" t="s">
        <v>35</v>
      </c>
      <c r="M1374">
        <v>936</v>
      </c>
    </row>
    <row r="1375" spans="1:13">
      <c r="A1375">
        <v>1369</v>
      </c>
      <c r="B1375">
        <v>75279</v>
      </c>
      <c r="C1375" t="s">
        <v>3214</v>
      </c>
      <c r="D1375" t="s">
        <v>238</v>
      </c>
      <c r="E1375" t="s">
        <v>3215</v>
      </c>
      <c r="F1375" t="str">
        <f>"00024772"</f>
        <v>00024772</v>
      </c>
      <c r="G1375" t="s">
        <v>600</v>
      </c>
      <c r="H1375" t="s">
        <v>366</v>
      </c>
      <c r="I1375">
        <v>1694</v>
      </c>
      <c r="J1375" t="s">
        <v>21</v>
      </c>
      <c r="K1375">
        <v>0</v>
      </c>
      <c r="L1375" t="s">
        <v>35</v>
      </c>
      <c r="M1375">
        <v>973</v>
      </c>
    </row>
    <row r="1376" spans="1:13">
      <c r="A1376">
        <v>1370</v>
      </c>
      <c r="B1376">
        <v>48088</v>
      </c>
      <c r="C1376" t="s">
        <v>3216</v>
      </c>
      <c r="D1376" t="s">
        <v>105</v>
      </c>
      <c r="E1376" t="s">
        <v>3217</v>
      </c>
      <c r="F1376" t="str">
        <f>"00256403"</f>
        <v>00256403</v>
      </c>
      <c r="G1376" t="s">
        <v>3218</v>
      </c>
      <c r="H1376" t="s">
        <v>216</v>
      </c>
      <c r="I1376">
        <v>1707</v>
      </c>
      <c r="J1376" t="s">
        <v>21</v>
      </c>
      <c r="K1376">
        <v>7</v>
      </c>
      <c r="M1376">
        <v>1363</v>
      </c>
    </row>
    <row r="1377" spans="1:13">
      <c r="A1377">
        <v>1371</v>
      </c>
      <c r="B1377">
        <v>87848</v>
      </c>
      <c r="C1377" t="s">
        <v>3219</v>
      </c>
      <c r="D1377" t="s">
        <v>76</v>
      </c>
      <c r="E1377" t="s">
        <v>3220</v>
      </c>
      <c r="F1377" t="str">
        <f>"201511043216"</f>
        <v>201511043216</v>
      </c>
      <c r="G1377" t="s">
        <v>1155</v>
      </c>
      <c r="H1377" t="s">
        <v>20</v>
      </c>
      <c r="I1377">
        <v>1480</v>
      </c>
      <c r="J1377" t="s">
        <v>21</v>
      </c>
      <c r="K1377">
        <v>0</v>
      </c>
      <c r="M1377">
        <v>1538</v>
      </c>
    </row>
    <row r="1378" spans="1:13">
      <c r="A1378">
        <v>1372</v>
      </c>
      <c r="B1378">
        <v>66132</v>
      </c>
      <c r="C1378" t="s">
        <v>3221</v>
      </c>
      <c r="D1378" t="s">
        <v>280</v>
      </c>
      <c r="E1378" t="s">
        <v>3222</v>
      </c>
      <c r="F1378" t="str">
        <f>"00396562"</f>
        <v>00396562</v>
      </c>
      <c r="G1378" t="s">
        <v>111</v>
      </c>
      <c r="H1378" t="s">
        <v>48</v>
      </c>
      <c r="I1378">
        <v>1620</v>
      </c>
      <c r="J1378" t="s">
        <v>21</v>
      </c>
      <c r="K1378">
        <v>0</v>
      </c>
      <c r="L1378" t="s">
        <v>88</v>
      </c>
      <c r="M1378">
        <v>508</v>
      </c>
    </row>
    <row r="1379" spans="1:13">
      <c r="A1379">
        <v>1373</v>
      </c>
      <c r="B1379">
        <v>106043</v>
      </c>
      <c r="C1379" t="s">
        <v>3223</v>
      </c>
      <c r="D1379" t="s">
        <v>209</v>
      </c>
      <c r="E1379" t="s">
        <v>3224</v>
      </c>
      <c r="F1379" t="str">
        <f>"00228555"</f>
        <v>00228555</v>
      </c>
      <c r="G1379" t="s">
        <v>3225</v>
      </c>
      <c r="H1379" t="s">
        <v>20</v>
      </c>
      <c r="I1379">
        <v>1572</v>
      </c>
      <c r="J1379" t="s">
        <v>21</v>
      </c>
      <c r="K1379">
        <v>6</v>
      </c>
      <c r="M1379">
        <v>1438</v>
      </c>
    </row>
    <row r="1380" spans="1:13">
      <c r="A1380">
        <v>1374</v>
      </c>
      <c r="B1380">
        <v>56659</v>
      </c>
      <c r="C1380" t="s">
        <v>3226</v>
      </c>
      <c r="D1380" t="s">
        <v>2623</v>
      </c>
      <c r="E1380" t="s">
        <v>3227</v>
      </c>
      <c r="F1380" t="str">
        <f>"00147052"</f>
        <v>00147052</v>
      </c>
      <c r="G1380" t="s">
        <v>107</v>
      </c>
      <c r="H1380" t="s">
        <v>20</v>
      </c>
      <c r="I1380">
        <v>1472</v>
      </c>
      <c r="J1380" t="s">
        <v>21</v>
      </c>
      <c r="K1380">
        <v>0</v>
      </c>
      <c r="M1380">
        <v>1428</v>
      </c>
    </row>
    <row r="1381" spans="1:13">
      <c r="A1381">
        <v>1375</v>
      </c>
      <c r="B1381">
        <v>66142</v>
      </c>
      <c r="C1381" t="s">
        <v>3228</v>
      </c>
      <c r="D1381" t="s">
        <v>3229</v>
      </c>
      <c r="E1381" t="s">
        <v>3230</v>
      </c>
      <c r="F1381" t="str">
        <f>"00378992"</f>
        <v>00378992</v>
      </c>
      <c r="G1381" t="s">
        <v>1764</v>
      </c>
      <c r="H1381" t="s">
        <v>20</v>
      </c>
      <c r="I1381">
        <v>1532</v>
      </c>
      <c r="J1381" t="s">
        <v>21</v>
      </c>
      <c r="K1381">
        <v>0</v>
      </c>
      <c r="M1381">
        <v>1428</v>
      </c>
    </row>
    <row r="1382" spans="1:13">
      <c r="A1382">
        <v>1376</v>
      </c>
      <c r="B1382">
        <v>107583</v>
      </c>
      <c r="C1382" t="s">
        <v>3231</v>
      </c>
      <c r="D1382" t="s">
        <v>566</v>
      </c>
      <c r="E1382" t="s">
        <v>3232</v>
      </c>
      <c r="F1382" t="str">
        <f>"00072229"</f>
        <v>00072229</v>
      </c>
      <c r="G1382" t="s">
        <v>19</v>
      </c>
      <c r="H1382" t="s">
        <v>20</v>
      </c>
      <c r="I1382">
        <v>1531</v>
      </c>
      <c r="J1382" t="s">
        <v>21</v>
      </c>
      <c r="K1382">
        <v>0</v>
      </c>
      <c r="L1382" t="s">
        <v>35</v>
      </c>
      <c r="M1382">
        <v>891</v>
      </c>
    </row>
    <row r="1383" spans="1:13">
      <c r="A1383">
        <v>1377</v>
      </c>
      <c r="B1383">
        <v>80953</v>
      </c>
      <c r="C1383" t="s">
        <v>3233</v>
      </c>
      <c r="D1383" t="s">
        <v>321</v>
      </c>
      <c r="E1383" t="s">
        <v>3234</v>
      </c>
      <c r="F1383" t="str">
        <f>"00374853"</f>
        <v>00374853</v>
      </c>
      <c r="G1383" t="s">
        <v>1079</v>
      </c>
      <c r="H1383" t="s">
        <v>20</v>
      </c>
      <c r="I1383">
        <v>1433</v>
      </c>
      <c r="J1383" t="s">
        <v>21</v>
      </c>
      <c r="K1383">
        <v>0</v>
      </c>
      <c r="M1383">
        <v>1428</v>
      </c>
    </row>
    <row r="1384" spans="1:13">
      <c r="A1384">
        <v>1378</v>
      </c>
      <c r="B1384">
        <v>114115</v>
      </c>
      <c r="C1384" t="s">
        <v>3235</v>
      </c>
      <c r="D1384" t="s">
        <v>288</v>
      </c>
      <c r="E1384" t="s">
        <v>3236</v>
      </c>
      <c r="F1384" t="str">
        <f>"00419417"</f>
        <v>00419417</v>
      </c>
      <c r="G1384" t="s">
        <v>3237</v>
      </c>
      <c r="H1384" t="s">
        <v>20</v>
      </c>
      <c r="I1384">
        <v>1515</v>
      </c>
      <c r="J1384" t="s">
        <v>21</v>
      </c>
      <c r="K1384">
        <v>6</v>
      </c>
      <c r="L1384" t="s">
        <v>35</v>
      </c>
      <c r="M1384">
        <v>1121</v>
      </c>
    </row>
    <row r="1385" spans="1:13">
      <c r="A1385">
        <v>1379</v>
      </c>
      <c r="B1385">
        <v>60364</v>
      </c>
      <c r="C1385" t="s">
        <v>3238</v>
      </c>
      <c r="D1385" t="s">
        <v>90</v>
      </c>
      <c r="E1385" t="s">
        <v>3239</v>
      </c>
      <c r="F1385" t="str">
        <f>"00352732"</f>
        <v>00352732</v>
      </c>
      <c r="G1385" t="s">
        <v>600</v>
      </c>
      <c r="H1385" t="s">
        <v>234</v>
      </c>
      <c r="I1385">
        <v>1337</v>
      </c>
      <c r="J1385" t="s">
        <v>21</v>
      </c>
      <c r="K1385">
        <v>0</v>
      </c>
      <c r="L1385" t="s">
        <v>83</v>
      </c>
      <c r="M1385">
        <v>1328</v>
      </c>
    </row>
    <row r="1386" spans="1:13">
      <c r="A1386">
        <v>1380</v>
      </c>
      <c r="B1386">
        <v>65224</v>
      </c>
      <c r="C1386" t="s">
        <v>3240</v>
      </c>
      <c r="D1386" t="s">
        <v>76</v>
      </c>
      <c r="E1386" t="s">
        <v>3241</v>
      </c>
      <c r="F1386" t="str">
        <f>"00275776"</f>
        <v>00275776</v>
      </c>
      <c r="G1386" t="s">
        <v>1695</v>
      </c>
      <c r="H1386" t="s">
        <v>20</v>
      </c>
      <c r="I1386">
        <v>1533</v>
      </c>
      <c r="J1386" t="s">
        <v>21</v>
      </c>
      <c r="K1386">
        <v>0</v>
      </c>
      <c r="M1386">
        <v>1338</v>
      </c>
    </row>
    <row r="1387" spans="1:13">
      <c r="A1387">
        <v>1381</v>
      </c>
      <c r="B1387">
        <v>63334</v>
      </c>
      <c r="C1387" t="s">
        <v>3242</v>
      </c>
      <c r="D1387" t="s">
        <v>373</v>
      </c>
      <c r="E1387" t="s">
        <v>3243</v>
      </c>
      <c r="F1387" t="str">
        <f>"00359250"</f>
        <v>00359250</v>
      </c>
      <c r="G1387" t="s">
        <v>203</v>
      </c>
      <c r="H1387" t="s">
        <v>20</v>
      </c>
      <c r="I1387">
        <v>1476</v>
      </c>
      <c r="J1387" t="s">
        <v>21</v>
      </c>
      <c r="K1387">
        <v>6</v>
      </c>
      <c r="L1387" t="s">
        <v>35</v>
      </c>
      <c r="M1387">
        <v>624</v>
      </c>
    </row>
    <row r="1388" spans="1:13">
      <c r="A1388">
        <v>1382</v>
      </c>
      <c r="B1388">
        <v>107993</v>
      </c>
      <c r="C1388" t="s">
        <v>3244</v>
      </c>
      <c r="D1388" t="s">
        <v>163</v>
      </c>
      <c r="E1388" t="s">
        <v>3245</v>
      </c>
      <c r="F1388" t="str">
        <f>"201604001331"</f>
        <v>201604001331</v>
      </c>
      <c r="G1388" t="s">
        <v>38</v>
      </c>
      <c r="H1388" t="s">
        <v>39</v>
      </c>
      <c r="I1388">
        <v>1634</v>
      </c>
      <c r="J1388" t="s">
        <v>21</v>
      </c>
      <c r="K1388">
        <v>6</v>
      </c>
      <c r="L1388" t="s">
        <v>59</v>
      </c>
      <c r="M1388">
        <v>527</v>
      </c>
    </row>
    <row r="1389" spans="1:13">
      <c r="A1389">
        <v>1383</v>
      </c>
      <c r="B1389">
        <v>95282</v>
      </c>
      <c r="C1389" t="s">
        <v>3246</v>
      </c>
      <c r="D1389" t="s">
        <v>145</v>
      </c>
      <c r="E1389" t="s">
        <v>3247</v>
      </c>
      <c r="F1389" t="str">
        <f>"00416913"</f>
        <v>00416913</v>
      </c>
      <c r="G1389" t="s">
        <v>371</v>
      </c>
      <c r="H1389" t="s">
        <v>20</v>
      </c>
      <c r="I1389">
        <v>1526</v>
      </c>
      <c r="J1389" t="s">
        <v>21</v>
      </c>
      <c r="K1389">
        <v>6</v>
      </c>
      <c r="L1389" t="s">
        <v>35</v>
      </c>
      <c r="M1389">
        <v>408</v>
      </c>
    </row>
    <row r="1390" spans="1:13">
      <c r="A1390">
        <v>1384</v>
      </c>
      <c r="B1390">
        <v>58451</v>
      </c>
      <c r="C1390" t="s">
        <v>3248</v>
      </c>
      <c r="D1390" t="s">
        <v>102</v>
      </c>
      <c r="E1390" t="s">
        <v>3249</v>
      </c>
      <c r="F1390" t="str">
        <f>"00362086"</f>
        <v>00362086</v>
      </c>
      <c r="G1390" t="s">
        <v>1556</v>
      </c>
      <c r="H1390" t="s">
        <v>20</v>
      </c>
      <c r="I1390">
        <v>1530</v>
      </c>
      <c r="J1390" t="s">
        <v>21</v>
      </c>
      <c r="K1390">
        <v>0</v>
      </c>
      <c r="L1390" t="s">
        <v>35</v>
      </c>
      <c r="M1390">
        <v>1008</v>
      </c>
    </row>
    <row r="1391" spans="1:13">
      <c r="A1391">
        <v>1385</v>
      </c>
      <c r="B1391">
        <v>75433</v>
      </c>
      <c r="C1391" t="s">
        <v>3250</v>
      </c>
      <c r="D1391" t="s">
        <v>80</v>
      </c>
      <c r="E1391" t="s">
        <v>3251</v>
      </c>
      <c r="F1391" t="str">
        <f>"00383978"</f>
        <v>00383978</v>
      </c>
      <c r="G1391" t="s">
        <v>196</v>
      </c>
      <c r="H1391" t="s">
        <v>20</v>
      </c>
      <c r="I1391">
        <v>1512</v>
      </c>
      <c r="J1391" t="s">
        <v>21</v>
      </c>
      <c r="K1391">
        <v>6</v>
      </c>
      <c r="L1391" t="s">
        <v>35</v>
      </c>
      <c r="M1391">
        <v>1108</v>
      </c>
    </row>
    <row r="1392" spans="1:13">
      <c r="A1392">
        <v>1386</v>
      </c>
      <c r="B1392">
        <v>48822</v>
      </c>
      <c r="C1392" t="s">
        <v>3252</v>
      </c>
      <c r="D1392" t="s">
        <v>94</v>
      </c>
      <c r="E1392" t="s">
        <v>3253</v>
      </c>
      <c r="F1392" t="str">
        <f>"00357100"</f>
        <v>00357100</v>
      </c>
      <c r="G1392" t="s">
        <v>2305</v>
      </c>
      <c r="H1392" t="s">
        <v>2306</v>
      </c>
      <c r="I1392">
        <v>1369</v>
      </c>
      <c r="J1392" t="s">
        <v>21</v>
      </c>
      <c r="K1392">
        <v>0</v>
      </c>
      <c r="L1392" t="s">
        <v>59</v>
      </c>
      <c r="M1392">
        <v>1227</v>
      </c>
    </row>
    <row r="1393" spans="1:13">
      <c r="A1393">
        <v>1387</v>
      </c>
      <c r="B1393">
        <v>85013</v>
      </c>
      <c r="C1393" t="s">
        <v>3254</v>
      </c>
      <c r="D1393" t="s">
        <v>180</v>
      </c>
      <c r="E1393" t="s">
        <v>3255</v>
      </c>
      <c r="F1393" t="str">
        <f>"00386589"</f>
        <v>00386589</v>
      </c>
      <c r="G1393" t="s">
        <v>3256</v>
      </c>
      <c r="H1393" t="s">
        <v>20</v>
      </c>
      <c r="I1393">
        <v>1418</v>
      </c>
      <c r="J1393" t="s">
        <v>21</v>
      </c>
      <c r="K1393">
        <v>0</v>
      </c>
      <c r="L1393" t="s">
        <v>35</v>
      </c>
      <c r="M1393">
        <v>1108</v>
      </c>
    </row>
    <row r="1394" spans="1:13">
      <c r="A1394">
        <v>1388</v>
      </c>
      <c r="B1394">
        <v>74605</v>
      </c>
      <c r="C1394" t="s">
        <v>3257</v>
      </c>
      <c r="D1394" t="s">
        <v>249</v>
      </c>
      <c r="E1394" t="s">
        <v>3258</v>
      </c>
      <c r="F1394" t="str">
        <f>"00384660"</f>
        <v>00384660</v>
      </c>
      <c r="G1394" t="s">
        <v>2305</v>
      </c>
      <c r="H1394" t="s">
        <v>2306</v>
      </c>
      <c r="I1394">
        <v>1369</v>
      </c>
      <c r="J1394" t="s">
        <v>21</v>
      </c>
      <c r="K1394">
        <v>0</v>
      </c>
      <c r="L1394" t="s">
        <v>35</v>
      </c>
      <c r="M1394">
        <v>1108</v>
      </c>
    </row>
    <row r="1395" spans="1:13">
      <c r="A1395">
        <v>1389</v>
      </c>
      <c r="B1395">
        <v>56164</v>
      </c>
      <c r="C1395" t="s">
        <v>3259</v>
      </c>
      <c r="D1395" t="s">
        <v>243</v>
      </c>
      <c r="E1395" t="s">
        <v>3260</v>
      </c>
      <c r="F1395" t="str">
        <f>"201511008635"</f>
        <v>201511008635</v>
      </c>
      <c r="G1395" t="s">
        <v>371</v>
      </c>
      <c r="H1395" t="s">
        <v>20</v>
      </c>
      <c r="I1395">
        <v>1526</v>
      </c>
      <c r="J1395" t="s">
        <v>21</v>
      </c>
      <c r="K1395">
        <v>6</v>
      </c>
      <c r="L1395" t="s">
        <v>35</v>
      </c>
      <c r="M1395">
        <v>450</v>
      </c>
    </row>
    <row r="1396" spans="1:13">
      <c r="A1396">
        <v>1390</v>
      </c>
      <c r="B1396">
        <v>73652</v>
      </c>
      <c r="C1396" t="s">
        <v>3261</v>
      </c>
      <c r="D1396" t="s">
        <v>76</v>
      </c>
      <c r="E1396" t="s">
        <v>3262</v>
      </c>
      <c r="F1396" t="str">
        <f>"00244038"</f>
        <v>00244038</v>
      </c>
      <c r="G1396" t="s">
        <v>47</v>
      </c>
      <c r="H1396" t="s">
        <v>48</v>
      </c>
      <c r="I1396">
        <v>1623</v>
      </c>
      <c r="J1396" t="s">
        <v>21</v>
      </c>
      <c r="K1396">
        <v>0</v>
      </c>
      <c r="M1396">
        <v>1338</v>
      </c>
    </row>
    <row r="1397" spans="1:13">
      <c r="A1397">
        <v>1391</v>
      </c>
      <c r="B1397">
        <v>92827</v>
      </c>
      <c r="C1397" t="s">
        <v>3263</v>
      </c>
      <c r="D1397" t="s">
        <v>905</v>
      </c>
      <c r="E1397" t="s">
        <v>3264</v>
      </c>
      <c r="F1397" t="str">
        <f>"201402004496"</f>
        <v>201402004496</v>
      </c>
      <c r="G1397" t="s">
        <v>19</v>
      </c>
      <c r="H1397" t="s">
        <v>20</v>
      </c>
      <c r="I1397">
        <v>1531</v>
      </c>
      <c r="J1397" t="s">
        <v>21</v>
      </c>
      <c r="K1397">
        <v>0</v>
      </c>
      <c r="L1397" t="s">
        <v>83</v>
      </c>
      <c r="M1397">
        <v>1228</v>
      </c>
    </row>
    <row r="1398" spans="1:13">
      <c r="A1398">
        <v>1392</v>
      </c>
      <c r="B1398">
        <v>85264</v>
      </c>
      <c r="C1398" t="s">
        <v>3265</v>
      </c>
      <c r="D1398" t="s">
        <v>73</v>
      </c>
      <c r="E1398" t="s">
        <v>3266</v>
      </c>
      <c r="F1398" t="str">
        <f>"00327235"</f>
        <v>00327235</v>
      </c>
      <c r="G1398" t="s">
        <v>233</v>
      </c>
      <c r="H1398" t="s">
        <v>234</v>
      </c>
      <c r="I1398">
        <v>1339</v>
      </c>
      <c r="J1398" t="s">
        <v>21</v>
      </c>
      <c r="K1398">
        <v>6</v>
      </c>
      <c r="L1398" t="s">
        <v>35</v>
      </c>
      <c r="M1398">
        <v>708</v>
      </c>
    </row>
    <row r="1399" spans="1:13">
      <c r="A1399">
        <v>1393</v>
      </c>
      <c r="B1399">
        <v>50976</v>
      </c>
      <c r="C1399" t="s">
        <v>3267</v>
      </c>
      <c r="D1399" t="s">
        <v>3268</v>
      </c>
      <c r="E1399" t="s">
        <v>3269</v>
      </c>
      <c r="F1399" t="str">
        <f>"00373452"</f>
        <v>00373452</v>
      </c>
      <c r="G1399" t="s">
        <v>150</v>
      </c>
      <c r="H1399" t="s">
        <v>151</v>
      </c>
      <c r="I1399">
        <v>1699</v>
      </c>
      <c r="J1399" t="s">
        <v>21</v>
      </c>
      <c r="K1399">
        <v>0</v>
      </c>
      <c r="L1399" t="s">
        <v>2999</v>
      </c>
      <c r="M1399">
        <v>594</v>
      </c>
    </row>
    <row r="1400" spans="1:13">
      <c r="A1400">
        <v>1394</v>
      </c>
      <c r="B1400">
        <v>53698</v>
      </c>
      <c r="C1400" t="s">
        <v>3270</v>
      </c>
      <c r="D1400" t="s">
        <v>2330</v>
      </c>
      <c r="E1400" t="s">
        <v>3271</v>
      </c>
      <c r="F1400" t="str">
        <f>"00356532"</f>
        <v>00356532</v>
      </c>
      <c r="G1400" t="s">
        <v>47</v>
      </c>
      <c r="H1400" t="s">
        <v>48</v>
      </c>
      <c r="I1400">
        <v>1623</v>
      </c>
      <c r="J1400" t="s">
        <v>21</v>
      </c>
      <c r="K1400">
        <v>0</v>
      </c>
      <c r="L1400" t="s">
        <v>35</v>
      </c>
      <c r="M1400">
        <v>1192</v>
      </c>
    </row>
    <row r="1401" spans="1:13">
      <c r="A1401">
        <v>1395</v>
      </c>
      <c r="B1401">
        <v>73493</v>
      </c>
      <c r="C1401" t="s">
        <v>3272</v>
      </c>
      <c r="D1401" t="s">
        <v>700</v>
      </c>
      <c r="E1401" t="s">
        <v>3273</v>
      </c>
      <c r="F1401" t="str">
        <f>"00077968"</f>
        <v>00077968</v>
      </c>
      <c r="G1401" t="s">
        <v>107</v>
      </c>
      <c r="H1401" t="s">
        <v>20</v>
      </c>
      <c r="I1401">
        <v>1472</v>
      </c>
      <c r="J1401" t="s">
        <v>21</v>
      </c>
      <c r="K1401">
        <v>0</v>
      </c>
      <c r="L1401" t="s">
        <v>112</v>
      </c>
      <c r="M1401">
        <v>808</v>
      </c>
    </row>
    <row r="1402" spans="1:13">
      <c r="A1402">
        <v>1396</v>
      </c>
      <c r="B1402">
        <v>91852</v>
      </c>
      <c r="C1402" t="s">
        <v>3274</v>
      </c>
      <c r="D1402" t="s">
        <v>180</v>
      </c>
      <c r="E1402" t="s">
        <v>3275</v>
      </c>
      <c r="F1402" t="str">
        <f>"00380665"</f>
        <v>00380665</v>
      </c>
      <c r="G1402" t="s">
        <v>371</v>
      </c>
      <c r="H1402" t="s">
        <v>20</v>
      </c>
      <c r="I1402">
        <v>1526</v>
      </c>
      <c r="J1402" t="s">
        <v>21</v>
      </c>
      <c r="K1402">
        <v>6</v>
      </c>
      <c r="M1402">
        <v>1128</v>
      </c>
    </row>
    <row r="1403" spans="1:13">
      <c r="A1403">
        <v>1397</v>
      </c>
      <c r="B1403">
        <v>96870</v>
      </c>
      <c r="C1403" t="s">
        <v>3276</v>
      </c>
      <c r="D1403" t="s">
        <v>139</v>
      </c>
      <c r="E1403" t="s">
        <v>3277</v>
      </c>
      <c r="F1403" t="str">
        <f>"00370283"</f>
        <v>00370283</v>
      </c>
      <c r="G1403" t="s">
        <v>371</v>
      </c>
      <c r="H1403" t="s">
        <v>20</v>
      </c>
      <c r="I1403">
        <v>1526</v>
      </c>
      <c r="J1403" t="s">
        <v>21</v>
      </c>
      <c r="K1403">
        <v>6</v>
      </c>
      <c r="M1403">
        <v>1088</v>
      </c>
    </row>
    <row r="1404" spans="1:13">
      <c r="A1404">
        <v>1398</v>
      </c>
      <c r="B1404">
        <v>76122</v>
      </c>
      <c r="C1404" t="s">
        <v>3278</v>
      </c>
      <c r="D1404" t="s">
        <v>105</v>
      </c>
      <c r="E1404" t="s">
        <v>3279</v>
      </c>
      <c r="F1404" t="str">
        <f>"00363927"</f>
        <v>00363927</v>
      </c>
      <c r="G1404" t="s">
        <v>3280</v>
      </c>
      <c r="H1404" t="s">
        <v>20</v>
      </c>
      <c r="I1404">
        <v>1557</v>
      </c>
      <c r="J1404" t="s">
        <v>21</v>
      </c>
      <c r="K1404">
        <v>6</v>
      </c>
      <c r="M1404">
        <v>1428</v>
      </c>
    </row>
    <row r="1405" spans="1:13">
      <c r="A1405">
        <v>1399</v>
      </c>
      <c r="B1405">
        <v>86214</v>
      </c>
      <c r="C1405" t="s">
        <v>3281</v>
      </c>
      <c r="D1405" t="s">
        <v>655</v>
      </c>
      <c r="E1405" t="s">
        <v>3282</v>
      </c>
      <c r="F1405" t="str">
        <f>"00381338"</f>
        <v>00381338</v>
      </c>
      <c r="G1405" t="s">
        <v>1764</v>
      </c>
      <c r="H1405" t="s">
        <v>20</v>
      </c>
      <c r="I1405">
        <v>1532</v>
      </c>
      <c r="J1405" t="s">
        <v>21</v>
      </c>
      <c r="K1405">
        <v>0</v>
      </c>
      <c r="L1405" t="s">
        <v>83</v>
      </c>
      <c r="M1405">
        <v>1253</v>
      </c>
    </row>
    <row r="1406" spans="1:13">
      <c r="A1406">
        <v>1400</v>
      </c>
      <c r="B1406">
        <v>72003</v>
      </c>
      <c r="C1406" t="s">
        <v>3283</v>
      </c>
      <c r="D1406" t="s">
        <v>2158</v>
      </c>
      <c r="E1406" t="s">
        <v>3284</v>
      </c>
      <c r="F1406" t="str">
        <f>"00391873"</f>
        <v>00391873</v>
      </c>
      <c r="G1406" t="s">
        <v>502</v>
      </c>
      <c r="H1406" t="s">
        <v>503</v>
      </c>
      <c r="I1406">
        <v>1359</v>
      </c>
      <c r="J1406" t="s">
        <v>21</v>
      </c>
      <c r="K1406">
        <v>0</v>
      </c>
      <c r="L1406" t="s">
        <v>59</v>
      </c>
      <c r="M1406">
        <v>1468</v>
      </c>
    </row>
    <row r="1407" spans="1:13">
      <c r="A1407">
        <v>1401</v>
      </c>
      <c r="B1407">
        <v>89763</v>
      </c>
      <c r="C1407" t="s">
        <v>3285</v>
      </c>
      <c r="D1407" t="s">
        <v>931</v>
      </c>
      <c r="E1407" t="s">
        <v>3286</v>
      </c>
      <c r="F1407" t="str">
        <f>"00405917"</f>
        <v>00405917</v>
      </c>
      <c r="G1407" t="s">
        <v>230</v>
      </c>
      <c r="H1407" t="s">
        <v>20</v>
      </c>
      <c r="I1407">
        <v>1545</v>
      </c>
      <c r="J1407" t="s">
        <v>21</v>
      </c>
      <c r="K1407">
        <v>0</v>
      </c>
      <c r="L1407" t="s">
        <v>35</v>
      </c>
      <c r="M1407">
        <v>1008</v>
      </c>
    </row>
    <row r="1408" spans="1:13">
      <c r="A1408">
        <v>1402</v>
      </c>
      <c r="B1408">
        <v>76967</v>
      </c>
      <c r="C1408" t="s">
        <v>3287</v>
      </c>
      <c r="D1408" t="s">
        <v>180</v>
      </c>
      <c r="E1408" t="s">
        <v>3288</v>
      </c>
      <c r="F1408" t="str">
        <f>"00020675"</f>
        <v>00020675</v>
      </c>
      <c r="G1408" t="s">
        <v>1753</v>
      </c>
      <c r="H1408" t="s">
        <v>20</v>
      </c>
      <c r="I1408">
        <v>1544</v>
      </c>
      <c r="J1408" t="s">
        <v>21</v>
      </c>
      <c r="K1408">
        <v>0</v>
      </c>
      <c r="L1408" t="s">
        <v>35</v>
      </c>
      <c r="M1408">
        <v>1003</v>
      </c>
    </row>
    <row r="1409" spans="1:13">
      <c r="A1409">
        <v>1403</v>
      </c>
      <c r="B1409">
        <v>86276</v>
      </c>
      <c r="C1409" t="s">
        <v>3289</v>
      </c>
      <c r="D1409" t="s">
        <v>655</v>
      </c>
      <c r="E1409" t="s">
        <v>3290</v>
      </c>
      <c r="F1409" t="str">
        <f>"00371138"</f>
        <v>00371138</v>
      </c>
      <c r="G1409" t="s">
        <v>82</v>
      </c>
      <c r="H1409" t="s">
        <v>20</v>
      </c>
      <c r="I1409">
        <v>1475</v>
      </c>
      <c r="J1409" t="s">
        <v>21</v>
      </c>
      <c r="K1409">
        <v>0</v>
      </c>
      <c r="L1409" t="s">
        <v>35</v>
      </c>
      <c r="M1409">
        <v>908</v>
      </c>
    </row>
    <row r="1410" spans="1:13">
      <c r="A1410">
        <v>1404</v>
      </c>
      <c r="B1410">
        <v>83184</v>
      </c>
      <c r="C1410" t="s">
        <v>3291</v>
      </c>
      <c r="D1410" t="s">
        <v>76</v>
      </c>
      <c r="E1410" t="s">
        <v>3292</v>
      </c>
      <c r="F1410" t="str">
        <f>"00416445"</f>
        <v>00416445</v>
      </c>
      <c r="G1410" t="s">
        <v>380</v>
      </c>
      <c r="H1410" t="s">
        <v>137</v>
      </c>
      <c r="I1410">
        <v>1615</v>
      </c>
      <c r="J1410" t="s">
        <v>21</v>
      </c>
      <c r="K1410">
        <v>0</v>
      </c>
      <c r="M1410">
        <v>1467</v>
      </c>
    </row>
    <row r="1411" spans="1:13">
      <c r="A1411">
        <v>1405</v>
      </c>
      <c r="B1411">
        <v>96866</v>
      </c>
      <c r="C1411" t="s">
        <v>3293</v>
      </c>
      <c r="D1411" t="s">
        <v>180</v>
      </c>
      <c r="E1411" t="s">
        <v>3294</v>
      </c>
      <c r="F1411" t="str">
        <f>"00274839"</f>
        <v>00274839</v>
      </c>
      <c r="G1411" t="s">
        <v>47</v>
      </c>
      <c r="H1411" t="s">
        <v>48</v>
      </c>
      <c r="I1411">
        <v>1623</v>
      </c>
      <c r="J1411" t="s">
        <v>21</v>
      </c>
      <c r="K1411">
        <v>0</v>
      </c>
      <c r="L1411" t="s">
        <v>35</v>
      </c>
      <c r="M1411">
        <v>908</v>
      </c>
    </row>
    <row r="1412" spans="1:13">
      <c r="A1412">
        <v>1406</v>
      </c>
      <c r="B1412">
        <v>47164</v>
      </c>
      <c r="C1412" t="s">
        <v>3295</v>
      </c>
      <c r="D1412" t="s">
        <v>218</v>
      </c>
      <c r="E1412" t="s">
        <v>3296</v>
      </c>
      <c r="F1412" t="str">
        <f>"201511020909"</f>
        <v>201511020909</v>
      </c>
      <c r="G1412" t="s">
        <v>107</v>
      </c>
      <c r="H1412" t="s">
        <v>20</v>
      </c>
      <c r="I1412">
        <v>1472</v>
      </c>
      <c r="J1412" t="s">
        <v>21</v>
      </c>
      <c r="K1412">
        <v>0</v>
      </c>
      <c r="L1412" t="s">
        <v>35</v>
      </c>
      <c r="M1412">
        <v>908</v>
      </c>
    </row>
    <row r="1413" spans="1:13">
      <c r="A1413">
        <v>1407</v>
      </c>
      <c r="B1413">
        <v>59648</v>
      </c>
      <c r="C1413" t="s">
        <v>3297</v>
      </c>
      <c r="D1413" t="s">
        <v>139</v>
      </c>
      <c r="E1413" t="s">
        <v>3298</v>
      </c>
      <c r="F1413" t="str">
        <f>"00079355"</f>
        <v>00079355</v>
      </c>
      <c r="G1413" t="s">
        <v>332</v>
      </c>
      <c r="H1413" t="s">
        <v>20</v>
      </c>
      <c r="I1413">
        <v>1558</v>
      </c>
      <c r="J1413" t="s">
        <v>21</v>
      </c>
      <c r="K1413">
        <v>6</v>
      </c>
      <c r="M1413">
        <v>1374</v>
      </c>
    </row>
    <row r="1414" spans="1:13">
      <c r="A1414">
        <v>1408</v>
      </c>
      <c r="B1414">
        <v>72935</v>
      </c>
      <c r="C1414" t="s">
        <v>3299</v>
      </c>
      <c r="D1414" t="s">
        <v>566</v>
      </c>
      <c r="E1414" t="s">
        <v>3300</v>
      </c>
      <c r="F1414" t="str">
        <f>"00400498"</f>
        <v>00400498</v>
      </c>
      <c r="G1414" t="s">
        <v>1005</v>
      </c>
      <c r="H1414" t="s">
        <v>216</v>
      </c>
      <c r="I1414">
        <v>1710</v>
      </c>
      <c r="J1414" t="s">
        <v>21</v>
      </c>
      <c r="K1414">
        <v>6</v>
      </c>
      <c r="L1414" t="s">
        <v>35</v>
      </c>
      <c r="M1414">
        <v>875</v>
      </c>
    </row>
    <row r="1415" spans="1:13">
      <c r="A1415">
        <v>1409</v>
      </c>
      <c r="B1415">
        <v>69189</v>
      </c>
      <c r="C1415" t="s">
        <v>3301</v>
      </c>
      <c r="D1415" t="s">
        <v>205</v>
      </c>
      <c r="E1415" t="s">
        <v>3302</v>
      </c>
      <c r="F1415" t="str">
        <f>"00385564"</f>
        <v>00385564</v>
      </c>
      <c r="G1415" t="s">
        <v>150</v>
      </c>
      <c r="H1415" t="s">
        <v>151</v>
      </c>
      <c r="I1415">
        <v>1699</v>
      </c>
      <c r="J1415" t="s">
        <v>21</v>
      </c>
      <c r="K1415">
        <v>0</v>
      </c>
      <c r="L1415" t="s">
        <v>35</v>
      </c>
      <c r="M1415">
        <v>900</v>
      </c>
    </row>
    <row r="1416" spans="1:13">
      <c r="A1416">
        <v>1410</v>
      </c>
      <c r="B1416">
        <v>60640</v>
      </c>
      <c r="C1416" t="s">
        <v>3303</v>
      </c>
      <c r="D1416" t="s">
        <v>205</v>
      </c>
      <c r="E1416" t="s">
        <v>3304</v>
      </c>
      <c r="F1416" t="str">
        <f>"00276944"</f>
        <v>00276944</v>
      </c>
      <c r="G1416" t="s">
        <v>273</v>
      </c>
      <c r="H1416" t="s">
        <v>274</v>
      </c>
      <c r="I1416">
        <v>1395</v>
      </c>
      <c r="J1416" t="s">
        <v>21</v>
      </c>
      <c r="K1416">
        <v>0</v>
      </c>
      <c r="M1416">
        <v>1453</v>
      </c>
    </row>
    <row r="1417" spans="1:13">
      <c r="A1417">
        <v>1411</v>
      </c>
      <c r="B1417">
        <v>105301</v>
      </c>
      <c r="C1417" t="s">
        <v>3305</v>
      </c>
      <c r="D1417" t="s">
        <v>180</v>
      </c>
      <c r="E1417" t="s">
        <v>3306</v>
      </c>
      <c r="F1417" t="str">
        <f>"00333251"</f>
        <v>00333251</v>
      </c>
      <c r="G1417" t="s">
        <v>107</v>
      </c>
      <c r="H1417" t="s">
        <v>20</v>
      </c>
      <c r="I1417">
        <v>1472</v>
      </c>
      <c r="J1417" t="s">
        <v>21</v>
      </c>
      <c r="K1417">
        <v>0</v>
      </c>
      <c r="M1417">
        <v>1428</v>
      </c>
    </row>
    <row r="1418" spans="1:13">
      <c r="A1418">
        <v>1412</v>
      </c>
      <c r="B1418">
        <v>102262</v>
      </c>
      <c r="C1418" t="s">
        <v>3307</v>
      </c>
      <c r="D1418" t="s">
        <v>288</v>
      </c>
      <c r="E1418" t="s">
        <v>3308</v>
      </c>
      <c r="F1418" t="str">
        <f>"00372026"</f>
        <v>00372026</v>
      </c>
      <c r="G1418" t="s">
        <v>856</v>
      </c>
      <c r="H1418" t="s">
        <v>366</v>
      </c>
      <c r="I1418">
        <v>1706</v>
      </c>
      <c r="J1418" t="s">
        <v>21</v>
      </c>
      <c r="K1418">
        <v>0</v>
      </c>
      <c r="L1418" t="s">
        <v>59</v>
      </c>
      <c r="M1418">
        <v>938</v>
      </c>
    </row>
    <row r="1419" spans="1:13">
      <c r="A1419">
        <v>1413</v>
      </c>
      <c r="B1419">
        <v>69424</v>
      </c>
      <c r="C1419" t="s">
        <v>3309</v>
      </c>
      <c r="D1419" t="s">
        <v>105</v>
      </c>
      <c r="E1419" t="s">
        <v>3310</v>
      </c>
      <c r="F1419" t="str">
        <f>"00379538"</f>
        <v>00379538</v>
      </c>
      <c r="G1419" t="s">
        <v>29</v>
      </c>
      <c r="H1419" t="s">
        <v>20</v>
      </c>
      <c r="I1419">
        <v>1446</v>
      </c>
      <c r="J1419" t="s">
        <v>21</v>
      </c>
      <c r="K1419">
        <v>0</v>
      </c>
      <c r="L1419" t="s">
        <v>35</v>
      </c>
      <c r="M1419">
        <v>970</v>
      </c>
    </row>
    <row r="1420" spans="1:13">
      <c r="A1420">
        <v>1414</v>
      </c>
      <c r="B1420">
        <v>99259</v>
      </c>
      <c r="C1420" t="s">
        <v>3311</v>
      </c>
      <c r="D1420" t="s">
        <v>153</v>
      </c>
      <c r="E1420" t="s">
        <v>3312</v>
      </c>
      <c r="F1420" t="str">
        <f>"201602000348"</f>
        <v>201602000348</v>
      </c>
      <c r="G1420" t="s">
        <v>258</v>
      </c>
      <c r="H1420" t="s">
        <v>20</v>
      </c>
      <c r="I1420">
        <v>1484</v>
      </c>
      <c r="J1420" t="s">
        <v>21</v>
      </c>
      <c r="K1420">
        <v>0</v>
      </c>
      <c r="L1420" t="s">
        <v>83</v>
      </c>
      <c r="M1420">
        <v>1188</v>
      </c>
    </row>
    <row r="1421" spans="1:13">
      <c r="A1421">
        <v>1415</v>
      </c>
      <c r="B1421">
        <v>77109</v>
      </c>
      <c r="C1421" t="s">
        <v>3313</v>
      </c>
      <c r="D1421" t="s">
        <v>80</v>
      </c>
      <c r="E1421" t="s">
        <v>3314</v>
      </c>
      <c r="F1421" t="str">
        <f>"201511006360"</f>
        <v>201511006360</v>
      </c>
      <c r="G1421" t="s">
        <v>42</v>
      </c>
      <c r="H1421" t="s">
        <v>43</v>
      </c>
      <c r="I1421">
        <v>1712</v>
      </c>
      <c r="J1421" t="s">
        <v>21</v>
      </c>
      <c r="K1421">
        <v>0</v>
      </c>
      <c r="M1421">
        <v>1528</v>
      </c>
    </row>
    <row r="1422" spans="1:13">
      <c r="A1422">
        <v>1416</v>
      </c>
      <c r="B1422">
        <v>58628</v>
      </c>
      <c r="C1422" t="s">
        <v>3315</v>
      </c>
      <c r="D1422" t="s">
        <v>90</v>
      </c>
      <c r="E1422" t="s">
        <v>3316</v>
      </c>
      <c r="F1422" t="str">
        <f>"201511022722"</f>
        <v>201511022722</v>
      </c>
      <c r="G1422" t="s">
        <v>47</v>
      </c>
      <c r="H1422" t="s">
        <v>48</v>
      </c>
      <c r="I1422">
        <v>1623</v>
      </c>
      <c r="J1422" t="s">
        <v>21</v>
      </c>
      <c r="K1422">
        <v>0</v>
      </c>
      <c r="L1422" t="s">
        <v>35</v>
      </c>
      <c r="M1422">
        <v>906</v>
      </c>
    </row>
    <row r="1423" spans="1:13">
      <c r="A1423">
        <v>1417</v>
      </c>
      <c r="B1423">
        <v>60868</v>
      </c>
      <c r="C1423" t="s">
        <v>3317</v>
      </c>
      <c r="D1423" t="s">
        <v>90</v>
      </c>
      <c r="E1423" t="s">
        <v>3318</v>
      </c>
      <c r="F1423" t="str">
        <f>"00253954"</f>
        <v>00253954</v>
      </c>
      <c r="G1423" t="s">
        <v>2348</v>
      </c>
      <c r="H1423" t="s">
        <v>20</v>
      </c>
      <c r="I1423">
        <v>1571</v>
      </c>
      <c r="J1423" t="s">
        <v>21</v>
      </c>
      <c r="K1423">
        <v>6</v>
      </c>
      <c r="M1423">
        <v>1528</v>
      </c>
    </row>
    <row r="1424" spans="1:13">
      <c r="A1424">
        <v>1418</v>
      </c>
      <c r="B1424">
        <v>79435</v>
      </c>
      <c r="C1424" t="s">
        <v>3319</v>
      </c>
      <c r="D1424" t="s">
        <v>145</v>
      </c>
      <c r="E1424" t="s">
        <v>3320</v>
      </c>
      <c r="F1424" t="str">
        <f>"00262117"</f>
        <v>00262117</v>
      </c>
      <c r="G1424" t="s">
        <v>107</v>
      </c>
      <c r="H1424" t="s">
        <v>20</v>
      </c>
      <c r="I1424">
        <v>1472</v>
      </c>
      <c r="J1424" t="s">
        <v>21</v>
      </c>
      <c r="K1424">
        <v>0</v>
      </c>
      <c r="L1424" t="s">
        <v>35</v>
      </c>
      <c r="M1424">
        <v>933</v>
      </c>
    </row>
    <row r="1425" spans="1:13">
      <c r="A1425">
        <v>1419</v>
      </c>
      <c r="B1425">
        <v>65844</v>
      </c>
      <c r="C1425" t="s">
        <v>3321</v>
      </c>
      <c r="D1425" t="s">
        <v>80</v>
      </c>
      <c r="E1425" t="s">
        <v>3322</v>
      </c>
      <c r="F1425" t="str">
        <f>"00001932"</f>
        <v>00001932</v>
      </c>
      <c r="G1425" t="s">
        <v>111</v>
      </c>
      <c r="H1425" t="s">
        <v>48</v>
      </c>
      <c r="I1425">
        <v>1620</v>
      </c>
      <c r="J1425" t="s">
        <v>21</v>
      </c>
      <c r="K1425">
        <v>0</v>
      </c>
      <c r="L1425" t="s">
        <v>59</v>
      </c>
      <c r="M1425">
        <v>878</v>
      </c>
    </row>
    <row r="1426" spans="1:13">
      <c r="A1426">
        <v>1420</v>
      </c>
      <c r="B1426">
        <v>109744</v>
      </c>
      <c r="C1426" t="s">
        <v>3323</v>
      </c>
      <c r="D1426" t="s">
        <v>243</v>
      </c>
      <c r="E1426" t="s">
        <v>3324</v>
      </c>
      <c r="F1426" t="str">
        <f>"00408929"</f>
        <v>00408929</v>
      </c>
      <c r="G1426" t="s">
        <v>87</v>
      </c>
      <c r="H1426" t="s">
        <v>20</v>
      </c>
      <c r="I1426">
        <v>1436</v>
      </c>
      <c r="J1426" t="s">
        <v>21</v>
      </c>
      <c r="K1426">
        <v>0</v>
      </c>
      <c r="M1426">
        <v>1458</v>
      </c>
    </row>
    <row r="1427" spans="1:13">
      <c r="A1427">
        <v>1421</v>
      </c>
      <c r="B1427">
        <v>80479</v>
      </c>
      <c r="C1427" t="s">
        <v>3325</v>
      </c>
      <c r="D1427" t="s">
        <v>80</v>
      </c>
      <c r="E1427" t="s">
        <v>3326</v>
      </c>
      <c r="F1427" t="str">
        <f>"00345329"</f>
        <v>00345329</v>
      </c>
      <c r="G1427" t="s">
        <v>606</v>
      </c>
      <c r="H1427" t="s">
        <v>607</v>
      </c>
      <c r="I1427">
        <v>1343</v>
      </c>
      <c r="J1427" t="s">
        <v>21</v>
      </c>
      <c r="K1427">
        <v>0</v>
      </c>
      <c r="M1427">
        <v>1457</v>
      </c>
    </row>
    <row r="1428" spans="1:13">
      <c r="A1428">
        <v>1422</v>
      </c>
      <c r="B1428">
        <v>58190</v>
      </c>
      <c r="C1428" t="s">
        <v>3327</v>
      </c>
      <c r="D1428" t="s">
        <v>80</v>
      </c>
      <c r="E1428" t="s">
        <v>3328</v>
      </c>
      <c r="F1428" t="str">
        <f>"00317804"</f>
        <v>00317804</v>
      </c>
      <c r="G1428" t="s">
        <v>817</v>
      </c>
      <c r="H1428" t="s">
        <v>234</v>
      </c>
      <c r="I1428">
        <v>1326</v>
      </c>
      <c r="J1428" t="s">
        <v>21</v>
      </c>
      <c r="K1428">
        <v>7</v>
      </c>
      <c r="L1428" t="s">
        <v>35</v>
      </c>
      <c r="M1428">
        <v>1108</v>
      </c>
    </row>
    <row r="1429" spans="1:13">
      <c r="A1429">
        <v>1423</v>
      </c>
      <c r="B1429">
        <v>88846</v>
      </c>
      <c r="C1429" t="s">
        <v>3329</v>
      </c>
      <c r="D1429" t="s">
        <v>76</v>
      </c>
      <c r="E1429" t="s">
        <v>3330</v>
      </c>
      <c r="F1429" t="str">
        <f>"00249326"</f>
        <v>00249326</v>
      </c>
      <c r="G1429" t="s">
        <v>459</v>
      </c>
      <c r="H1429" t="s">
        <v>20</v>
      </c>
      <c r="I1429">
        <v>1485</v>
      </c>
      <c r="J1429" t="s">
        <v>21</v>
      </c>
      <c r="K1429">
        <v>6</v>
      </c>
      <c r="L1429" t="s">
        <v>35</v>
      </c>
      <c r="M1429">
        <v>1400</v>
      </c>
    </row>
    <row r="1430" spans="1:13">
      <c r="A1430">
        <v>1424</v>
      </c>
      <c r="B1430">
        <v>63562</v>
      </c>
      <c r="C1430" t="s">
        <v>3331</v>
      </c>
      <c r="D1430" t="s">
        <v>76</v>
      </c>
      <c r="E1430" t="s">
        <v>3332</v>
      </c>
      <c r="F1430" t="str">
        <f>"00357812"</f>
        <v>00357812</v>
      </c>
      <c r="G1430" t="s">
        <v>387</v>
      </c>
      <c r="H1430" t="s">
        <v>234</v>
      </c>
      <c r="I1430">
        <v>1340</v>
      </c>
      <c r="J1430" t="s">
        <v>21</v>
      </c>
      <c r="K1430">
        <v>0</v>
      </c>
      <c r="M1430">
        <v>1815</v>
      </c>
    </row>
    <row r="1431" spans="1:13">
      <c r="A1431">
        <v>1425</v>
      </c>
      <c r="B1431">
        <v>63966</v>
      </c>
      <c r="C1431" t="s">
        <v>3333</v>
      </c>
      <c r="D1431" t="s">
        <v>76</v>
      </c>
      <c r="E1431" t="s">
        <v>3334</v>
      </c>
      <c r="F1431" t="str">
        <f>"00027480"</f>
        <v>00027480</v>
      </c>
      <c r="G1431" t="s">
        <v>47</v>
      </c>
      <c r="H1431" t="s">
        <v>48</v>
      </c>
      <c r="I1431">
        <v>1623</v>
      </c>
      <c r="J1431" t="s">
        <v>21</v>
      </c>
      <c r="K1431">
        <v>0</v>
      </c>
      <c r="L1431" t="s">
        <v>35</v>
      </c>
      <c r="M1431">
        <v>858</v>
      </c>
    </row>
    <row r="1432" spans="1:13">
      <c r="A1432">
        <v>1426</v>
      </c>
      <c r="B1432">
        <v>50680</v>
      </c>
      <c r="C1432" t="s">
        <v>3335</v>
      </c>
      <c r="D1432" t="s">
        <v>145</v>
      </c>
      <c r="E1432" t="s">
        <v>3336</v>
      </c>
      <c r="F1432" t="str">
        <f>"00372689"</f>
        <v>00372689</v>
      </c>
      <c r="G1432" t="s">
        <v>2458</v>
      </c>
      <c r="H1432" t="s">
        <v>270</v>
      </c>
      <c r="I1432">
        <v>1584</v>
      </c>
      <c r="J1432" t="s">
        <v>21</v>
      </c>
      <c r="K1432">
        <v>0</v>
      </c>
      <c r="M1432">
        <v>1528</v>
      </c>
    </row>
    <row r="1433" spans="1:13">
      <c r="A1433">
        <v>1427</v>
      </c>
      <c r="B1433">
        <v>108673</v>
      </c>
      <c r="C1433" t="s">
        <v>3337</v>
      </c>
      <c r="D1433" t="s">
        <v>117</v>
      </c>
      <c r="E1433" t="s">
        <v>3338</v>
      </c>
      <c r="F1433" t="str">
        <f>"00420156"</f>
        <v>00420156</v>
      </c>
      <c r="G1433" t="s">
        <v>883</v>
      </c>
      <c r="H1433" t="s">
        <v>270</v>
      </c>
      <c r="I1433">
        <v>1585</v>
      </c>
      <c r="J1433" t="s">
        <v>21</v>
      </c>
      <c r="K1433">
        <v>0</v>
      </c>
      <c r="L1433" t="s">
        <v>35</v>
      </c>
      <c r="M1433">
        <v>1138</v>
      </c>
    </row>
    <row r="1434" spans="1:13">
      <c r="A1434">
        <v>1428</v>
      </c>
      <c r="B1434">
        <v>94229</v>
      </c>
      <c r="C1434" t="s">
        <v>3339</v>
      </c>
      <c r="D1434" t="s">
        <v>145</v>
      </c>
      <c r="E1434" t="s">
        <v>3340</v>
      </c>
      <c r="F1434" t="str">
        <f>"00348806"</f>
        <v>00348806</v>
      </c>
      <c r="G1434" t="s">
        <v>47</v>
      </c>
      <c r="H1434" t="s">
        <v>48</v>
      </c>
      <c r="I1434">
        <v>1623</v>
      </c>
      <c r="J1434" t="s">
        <v>21</v>
      </c>
      <c r="K1434">
        <v>0</v>
      </c>
      <c r="L1434" t="s">
        <v>35</v>
      </c>
      <c r="M1434">
        <v>900</v>
      </c>
    </row>
    <row r="1435" spans="1:13">
      <c r="A1435">
        <v>1429</v>
      </c>
      <c r="B1435">
        <v>106905</v>
      </c>
      <c r="C1435" t="s">
        <v>3341</v>
      </c>
      <c r="D1435" t="s">
        <v>914</v>
      </c>
      <c r="E1435" t="s">
        <v>3342</v>
      </c>
      <c r="F1435" t="str">
        <f>"00406688"</f>
        <v>00406688</v>
      </c>
      <c r="G1435" t="s">
        <v>245</v>
      </c>
      <c r="H1435" t="s">
        <v>20</v>
      </c>
      <c r="I1435">
        <v>1406</v>
      </c>
      <c r="J1435" t="s">
        <v>21</v>
      </c>
      <c r="K1435">
        <v>0</v>
      </c>
      <c r="M1435">
        <v>1348</v>
      </c>
    </row>
    <row r="1436" spans="1:13">
      <c r="A1436">
        <v>1430</v>
      </c>
      <c r="B1436">
        <v>63320</v>
      </c>
      <c r="C1436" t="s">
        <v>3343</v>
      </c>
      <c r="D1436" t="s">
        <v>1385</v>
      </c>
      <c r="E1436" t="s">
        <v>3344</v>
      </c>
      <c r="F1436" t="str">
        <f>"00209915"</f>
        <v>00209915</v>
      </c>
      <c r="G1436" t="s">
        <v>332</v>
      </c>
      <c r="H1436" t="s">
        <v>270</v>
      </c>
      <c r="I1436">
        <v>1631</v>
      </c>
      <c r="J1436" t="s">
        <v>21</v>
      </c>
      <c r="K1436">
        <v>6</v>
      </c>
      <c r="M1436">
        <v>1371</v>
      </c>
    </row>
    <row r="1437" spans="1:13">
      <c r="A1437">
        <v>1431</v>
      </c>
      <c r="B1437">
        <v>95693</v>
      </c>
      <c r="C1437" t="s">
        <v>3345</v>
      </c>
      <c r="D1437" t="s">
        <v>76</v>
      </c>
      <c r="E1437" t="s">
        <v>3346</v>
      </c>
      <c r="F1437" t="str">
        <f>"00016491"</f>
        <v>00016491</v>
      </c>
      <c r="G1437" t="s">
        <v>365</v>
      </c>
      <c r="H1437" t="s">
        <v>366</v>
      </c>
      <c r="I1437">
        <v>1692</v>
      </c>
      <c r="J1437" t="s">
        <v>21</v>
      </c>
      <c r="K1437">
        <v>0</v>
      </c>
      <c r="M1437">
        <v>1418</v>
      </c>
    </row>
    <row r="1438" spans="1:13">
      <c r="A1438">
        <v>1432</v>
      </c>
      <c r="B1438">
        <v>54674</v>
      </c>
      <c r="C1438" t="s">
        <v>3347</v>
      </c>
      <c r="D1438" t="s">
        <v>228</v>
      </c>
      <c r="E1438" t="s">
        <v>3348</v>
      </c>
      <c r="F1438" t="str">
        <f>"00358904"</f>
        <v>00358904</v>
      </c>
      <c r="G1438" t="s">
        <v>465</v>
      </c>
      <c r="H1438" t="s">
        <v>20</v>
      </c>
      <c r="I1438">
        <v>1534</v>
      </c>
      <c r="J1438" t="s">
        <v>21</v>
      </c>
      <c r="K1438">
        <v>0</v>
      </c>
      <c r="L1438" t="s">
        <v>35</v>
      </c>
      <c r="M1438">
        <v>900</v>
      </c>
    </row>
    <row r="1439" spans="1:13">
      <c r="A1439">
        <v>1433</v>
      </c>
      <c r="B1439">
        <v>79189</v>
      </c>
      <c r="C1439" t="s">
        <v>3349</v>
      </c>
      <c r="D1439" t="s">
        <v>243</v>
      </c>
      <c r="E1439" t="s">
        <v>3350</v>
      </c>
      <c r="F1439" t="str">
        <f>"00370290"</f>
        <v>00370290</v>
      </c>
      <c r="G1439" t="s">
        <v>626</v>
      </c>
      <c r="H1439" t="s">
        <v>234</v>
      </c>
      <c r="I1439">
        <v>1327</v>
      </c>
      <c r="J1439" t="s">
        <v>21</v>
      </c>
      <c r="K1439">
        <v>0</v>
      </c>
      <c r="M1439">
        <v>1532</v>
      </c>
    </row>
    <row r="1440" spans="1:13">
      <c r="A1440">
        <v>1434</v>
      </c>
      <c r="B1440">
        <v>91221</v>
      </c>
      <c r="C1440" t="s">
        <v>3351</v>
      </c>
      <c r="D1440" t="s">
        <v>334</v>
      </c>
      <c r="E1440" t="s">
        <v>3352</v>
      </c>
      <c r="F1440" t="str">
        <f>"00302334"</f>
        <v>00302334</v>
      </c>
      <c r="G1440" t="s">
        <v>19</v>
      </c>
      <c r="H1440" t="s">
        <v>20</v>
      </c>
      <c r="I1440">
        <v>1531</v>
      </c>
      <c r="J1440" t="s">
        <v>21</v>
      </c>
      <c r="K1440">
        <v>0</v>
      </c>
      <c r="L1440" t="s">
        <v>59</v>
      </c>
      <c r="M1440">
        <v>938</v>
      </c>
    </row>
    <row r="1441" spans="1:13">
      <c r="A1441">
        <v>1435</v>
      </c>
      <c r="B1441">
        <v>59076</v>
      </c>
      <c r="C1441" t="s">
        <v>3353</v>
      </c>
      <c r="D1441" t="s">
        <v>373</v>
      </c>
      <c r="E1441" t="s">
        <v>3354</v>
      </c>
      <c r="F1441" t="str">
        <f>"00359161"</f>
        <v>00359161</v>
      </c>
      <c r="G1441" t="s">
        <v>358</v>
      </c>
      <c r="H1441" t="s">
        <v>20</v>
      </c>
      <c r="I1441">
        <v>1549</v>
      </c>
      <c r="J1441" t="s">
        <v>21</v>
      </c>
      <c r="K1441">
        <v>0</v>
      </c>
      <c r="L1441" t="s">
        <v>35</v>
      </c>
      <c r="M1441">
        <v>908</v>
      </c>
    </row>
    <row r="1442" spans="1:13">
      <c r="A1442">
        <v>1436</v>
      </c>
      <c r="B1442">
        <v>49752</v>
      </c>
      <c r="C1442" t="s">
        <v>3355</v>
      </c>
      <c r="D1442" t="s">
        <v>80</v>
      </c>
      <c r="E1442" t="s">
        <v>3356</v>
      </c>
      <c r="F1442" t="str">
        <f>"00370069"</f>
        <v>00370069</v>
      </c>
      <c r="G1442" t="s">
        <v>38</v>
      </c>
      <c r="H1442" t="s">
        <v>39</v>
      </c>
      <c r="I1442">
        <v>1634</v>
      </c>
      <c r="J1442" t="s">
        <v>21</v>
      </c>
      <c r="K1442">
        <v>6</v>
      </c>
      <c r="L1442" t="s">
        <v>35</v>
      </c>
      <c r="M1442">
        <v>600</v>
      </c>
    </row>
    <row r="1443" spans="1:13">
      <c r="A1443">
        <v>1437</v>
      </c>
      <c r="B1443">
        <v>51289</v>
      </c>
      <c r="C1443" t="s">
        <v>3357</v>
      </c>
      <c r="D1443" t="s">
        <v>444</v>
      </c>
      <c r="E1443" t="s">
        <v>3358</v>
      </c>
      <c r="F1443" t="str">
        <f>"00372871"</f>
        <v>00372871</v>
      </c>
      <c r="G1443" t="s">
        <v>3359</v>
      </c>
      <c r="H1443" t="s">
        <v>1610</v>
      </c>
      <c r="I1443">
        <v>1303</v>
      </c>
      <c r="J1443" t="s">
        <v>21</v>
      </c>
      <c r="K1443">
        <v>6</v>
      </c>
      <c r="L1443" t="s">
        <v>35</v>
      </c>
      <c r="M1443">
        <v>1115</v>
      </c>
    </row>
    <row r="1444" spans="1:13">
      <c r="A1444">
        <v>1438</v>
      </c>
      <c r="B1444">
        <v>87286</v>
      </c>
      <c r="C1444" t="s">
        <v>3360</v>
      </c>
      <c r="D1444" t="s">
        <v>80</v>
      </c>
      <c r="E1444" t="s">
        <v>3361</v>
      </c>
      <c r="F1444" t="str">
        <f>"00379391"</f>
        <v>00379391</v>
      </c>
      <c r="G1444" t="s">
        <v>365</v>
      </c>
      <c r="H1444" t="s">
        <v>366</v>
      </c>
      <c r="I1444">
        <v>1692</v>
      </c>
      <c r="J1444" t="s">
        <v>21</v>
      </c>
      <c r="K1444">
        <v>0</v>
      </c>
      <c r="M1444">
        <v>1363</v>
      </c>
    </row>
    <row r="1445" spans="1:13">
      <c r="A1445">
        <v>1439</v>
      </c>
      <c r="B1445">
        <v>110441</v>
      </c>
      <c r="C1445" t="s">
        <v>3362</v>
      </c>
      <c r="D1445" t="s">
        <v>218</v>
      </c>
      <c r="E1445" t="s">
        <v>3363</v>
      </c>
      <c r="F1445" t="str">
        <f>"00416060"</f>
        <v>00416060</v>
      </c>
      <c r="G1445" t="s">
        <v>100</v>
      </c>
      <c r="H1445" t="s">
        <v>20</v>
      </c>
      <c r="I1445">
        <v>1468</v>
      </c>
      <c r="J1445" t="s">
        <v>21</v>
      </c>
      <c r="K1445">
        <v>0</v>
      </c>
      <c r="L1445" t="s">
        <v>35</v>
      </c>
      <c r="M1445">
        <v>1053</v>
      </c>
    </row>
    <row r="1446" spans="1:13">
      <c r="A1446">
        <v>1440</v>
      </c>
      <c r="B1446">
        <v>103621</v>
      </c>
      <c r="C1446" t="s">
        <v>3364</v>
      </c>
      <c r="D1446" t="s">
        <v>80</v>
      </c>
      <c r="E1446" t="s">
        <v>3365</v>
      </c>
      <c r="F1446" t="str">
        <f>"00249616"</f>
        <v>00249616</v>
      </c>
      <c r="G1446" t="s">
        <v>325</v>
      </c>
      <c r="H1446" t="s">
        <v>326</v>
      </c>
      <c r="I1446">
        <v>1592</v>
      </c>
      <c r="J1446" t="s">
        <v>21</v>
      </c>
      <c r="K1446">
        <v>0</v>
      </c>
      <c r="M1446">
        <v>1488</v>
      </c>
    </row>
    <row r="1447" spans="1:13">
      <c r="A1447">
        <v>1441</v>
      </c>
      <c r="B1447">
        <v>75877</v>
      </c>
      <c r="C1447" t="s">
        <v>3366</v>
      </c>
      <c r="D1447" t="s">
        <v>914</v>
      </c>
      <c r="E1447" t="s">
        <v>3367</v>
      </c>
      <c r="F1447" t="str">
        <f>"00386719"</f>
        <v>00386719</v>
      </c>
      <c r="G1447" t="s">
        <v>3368</v>
      </c>
      <c r="H1447" t="s">
        <v>20</v>
      </c>
      <c r="I1447">
        <v>1452</v>
      </c>
      <c r="J1447" t="s">
        <v>21</v>
      </c>
      <c r="K1447">
        <v>0</v>
      </c>
      <c r="L1447" t="s">
        <v>35</v>
      </c>
      <c r="M1447">
        <v>1070</v>
      </c>
    </row>
    <row r="1448" spans="1:13">
      <c r="A1448">
        <v>1442</v>
      </c>
      <c r="B1448">
        <v>82015</v>
      </c>
      <c r="C1448" t="s">
        <v>3369</v>
      </c>
      <c r="D1448" t="s">
        <v>90</v>
      </c>
      <c r="E1448" t="s">
        <v>3370</v>
      </c>
      <c r="F1448" t="str">
        <f>"00398790"</f>
        <v>00398790</v>
      </c>
      <c r="G1448" t="s">
        <v>107</v>
      </c>
      <c r="H1448" t="s">
        <v>20</v>
      </c>
      <c r="I1448">
        <v>1472</v>
      </c>
      <c r="J1448" t="s">
        <v>21</v>
      </c>
      <c r="K1448">
        <v>0</v>
      </c>
      <c r="L1448" t="s">
        <v>2999</v>
      </c>
      <c r="M1448">
        <v>740</v>
      </c>
    </row>
    <row r="1449" spans="1:13">
      <c r="A1449">
        <v>1443</v>
      </c>
      <c r="B1449">
        <v>111851</v>
      </c>
      <c r="C1449" t="s">
        <v>3371</v>
      </c>
      <c r="D1449" t="s">
        <v>209</v>
      </c>
      <c r="E1449" t="s">
        <v>3372</v>
      </c>
      <c r="F1449" t="str">
        <f>"00227122"</f>
        <v>00227122</v>
      </c>
      <c r="G1449" t="s">
        <v>352</v>
      </c>
      <c r="H1449" t="s">
        <v>20</v>
      </c>
      <c r="I1449">
        <v>1471</v>
      </c>
      <c r="J1449" t="s">
        <v>21</v>
      </c>
      <c r="K1449">
        <v>0</v>
      </c>
      <c r="M1449">
        <v>1388</v>
      </c>
    </row>
    <row r="1450" spans="1:13">
      <c r="A1450">
        <v>1444</v>
      </c>
      <c r="B1450">
        <v>107145</v>
      </c>
      <c r="C1450" t="s">
        <v>3373</v>
      </c>
      <c r="D1450" t="s">
        <v>243</v>
      </c>
      <c r="E1450" t="s">
        <v>3374</v>
      </c>
      <c r="F1450" t="str">
        <f>"201511025935"</f>
        <v>201511025935</v>
      </c>
      <c r="G1450" t="s">
        <v>418</v>
      </c>
      <c r="H1450" t="s">
        <v>234</v>
      </c>
      <c r="I1450">
        <v>1335</v>
      </c>
      <c r="J1450" t="s">
        <v>21</v>
      </c>
      <c r="K1450">
        <v>6</v>
      </c>
      <c r="M1450">
        <v>1503</v>
      </c>
    </row>
    <row r="1451" spans="1:13">
      <c r="A1451">
        <v>1445</v>
      </c>
      <c r="B1451">
        <v>96830</v>
      </c>
      <c r="C1451" t="s">
        <v>3375</v>
      </c>
      <c r="D1451" t="s">
        <v>180</v>
      </c>
      <c r="E1451" t="s">
        <v>3376</v>
      </c>
      <c r="F1451" t="str">
        <f>"00374161"</f>
        <v>00374161</v>
      </c>
      <c r="G1451" t="s">
        <v>437</v>
      </c>
      <c r="H1451" t="s">
        <v>20</v>
      </c>
      <c r="I1451">
        <v>1407</v>
      </c>
      <c r="J1451" t="s">
        <v>21</v>
      </c>
      <c r="K1451">
        <v>0</v>
      </c>
      <c r="L1451" t="s">
        <v>35</v>
      </c>
      <c r="M1451">
        <v>1308</v>
      </c>
    </row>
    <row r="1452" spans="1:13">
      <c r="A1452">
        <v>1446</v>
      </c>
      <c r="B1452">
        <v>46370</v>
      </c>
      <c r="C1452" t="s">
        <v>3377</v>
      </c>
      <c r="D1452" t="s">
        <v>76</v>
      </c>
      <c r="E1452" t="s">
        <v>3378</v>
      </c>
      <c r="F1452" t="str">
        <f>"00193356"</f>
        <v>00193356</v>
      </c>
      <c r="G1452" t="s">
        <v>883</v>
      </c>
      <c r="H1452" t="s">
        <v>270</v>
      </c>
      <c r="I1452">
        <v>1585</v>
      </c>
      <c r="J1452" t="s">
        <v>21</v>
      </c>
      <c r="K1452">
        <v>0</v>
      </c>
      <c r="M1452">
        <v>1428</v>
      </c>
    </row>
    <row r="1453" spans="1:13">
      <c r="A1453">
        <v>1447</v>
      </c>
      <c r="B1453">
        <v>51958</v>
      </c>
      <c r="C1453" t="s">
        <v>3379</v>
      </c>
      <c r="D1453" t="s">
        <v>90</v>
      </c>
      <c r="E1453" t="s">
        <v>3380</v>
      </c>
      <c r="F1453" t="str">
        <f>"00353373"</f>
        <v>00353373</v>
      </c>
      <c r="G1453" t="s">
        <v>125</v>
      </c>
      <c r="H1453" t="s">
        <v>20</v>
      </c>
      <c r="I1453">
        <v>1507</v>
      </c>
      <c r="J1453" t="s">
        <v>21</v>
      </c>
      <c r="K1453">
        <v>0</v>
      </c>
      <c r="L1453" t="s">
        <v>2999</v>
      </c>
      <c r="M1453">
        <v>775</v>
      </c>
    </row>
    <row r="1454" spans="1:13">
      <c r="A1454">
        <v>1448</v>
      </c>
      <c r="B1454">
        <v>47858</v>
      </c>
      <c r="C1454" t="s">
        <v>3381</v>
      </c>
      <c r="D1454" t="s">
        <v>102</v>
      </c>
      <c r="E1454" t="s">
        <v>3382</v>
      </c>
      <c r="F1454" t="str">
        <f>"201511021882"</f>
        <v>201511021882</v>
      </c>
      <c r="G1454" t="s">
        <v>87</v>
      </c>
      <c r="H1454" t="s">
        <v>20</v>
      </c>
      <c r="I1454">
        <v>1436</v>
      </c>
      <c r="J1454" t="s">
        <v>21</v>
      </c>
      <c r="K1454">
        <v>0</v>
      </c>
      <c r="L1454" t="s">
        <v>35</v>
      </c>
      <c r="M1454">
        <v>858</v>
      </c>
    </row>
    <row r="1455" spans="1:13">
      <c r="A1455">
        <v>1449</v>
      </c>
      <c r="B1455">
        <v>69663</v>
      </c>
      <c r="C1455" t="s">
        <v>3383</v>
      </c>
      <c r="D1455" t="s">
        <v>76</v>
      </c>
      <c r="E1455" t="s">
        <v>3384</v>
      </c>
      <c r="F1455" t="str">
        <f>"00256724"</f>
        <v>00256724</v>
      </c>
      <c r="G1455" t="s">
        <v>269</v>
      </c>
      <c r="H1455" t="s">
        <v>270</v>
      </c>
      <c r="I1455">
        <v>1587</v>
      </c>
      <c r="J1455" t="s">
        <v>21</v>
      </c>
      <c r="K1455">
        <v>0</v>
      </c>
      <c r="M1455">
        <v>1588</v>
      </c>
    </row>
    <row r="1456" spans="1:13">
      <c r="A1456">
        <v>1450</v>
      </c>
      <c r="B1456">
        <v>92715</v>
      </c>
      <c r="C1456" t="s">
        <v>3385</v>
      </c>
      <c r="D1456" t="s">
        <v>660</v>
      </c>
      <c r="E1456" t="s">
        <v>3386</v>
      </c>
      <c r="F1456" t="str">
        <f>"00402380"</f>
        <v>00402380</v>
      </c>
      <c r="G1456" t="s">
        <v>922</v>
      </c>
      <c r="H1456" t="s">
        <v>923</v>
      </c>
      <c r="I1456">
        <v>1704</v>
      </c>
      <c r="J1456" t="s">
        <v>21</v>
      </c>
      <c r="K1456">
        <v>0</v>
      </c>
      <c r="M1456">
        <v>1586</v>
      </c>
    </row>
    <row r="1457" spans="1:13">
      <c r="A1457">
        <v>1451</v>
      </c>
      <c r="B1457">
        <v>63423</v>
      </c>
      <c r="C1457" t="s">
        <v>3387</v>
      </c>
      <c r="D1457" t="s">
        <v>80</v>
      </c>
      <c r="E1457" t="s">
        <v>3388</v>
      </c>
      <c r="F1457" t="str">
        <f>"00360416"</f>
        <v>00360416</v>
      </c>
      <c r="G1457" t="s">
        <v>70</v>
      </c>
      <c r="H1457" t="s">
        <v>71</v>
      </c>
      <c r="I1457">
        <v>1702</v>
      </c>
      <c r="J1457" t="s">
        <v>21</v>
      </c>
      <c r="K1457">
        <v>0</v>
      </c>
      <c r="L1457" t="s">
        <v>112</v>
      </c>
      <c r="M1457">
        <v>796</v>
      </c>
    </row>
    <row r="1458" spans="1:13">
      <c r="A1458">
        <v>1452</v>
      </c>
      <c r="B1458">
        <v>109121</v>
      </c>
      <c r="C1458" t="s">
        <v>3389</v>
      </c>
      <c r="D1458" t="s">
        <v>90</v>
      </c>
      <c r="E1458" t="s">
        <v>3390</v>
      </c>
      <c r="F1458" t="str">
        <f>"00416507"</f>
        <v>00416507</v>
      </c>
      <c r="G1458" t="s">
        <v>488</v>
      </c>
      <c r="H1458" t="s">
        <v>20</v>
      </c>
      <c r="I1458">
        <v>1482</v>
      </c>
      <c r="J1458" t="s">
        <v>21</v>
      </c>
      <c r="K1458">
        <v>0</v>
      </c>
      <c r="L1458" t="s">
        <v>59</v>
      </c>
      <c r="M1458">
        <v>938</v>
      </c>
    </row>
    <row r="1459" spans="1:13">
      <c r="A1459">
        <v>1453</v>
      </c>
      <c r="B1459">
        <v>74302</v>
      </c>
      <c r="C1459" t="s">
        <v>3391</v>
      </c>
      <c r="D1459" t="s">
        <v>905</v>
      </c>
      <c r="E1459" t="s">
        <v>3392</v>
      </c>
      <c r="F1459" t="str">
        <f>"00362945"</f>
        <v>00362945</v>
      </c>
      <c r="G1459" t="s">
        <v>211</v>
      </c>
      <c r="H1459" t="s">
        <v>20</v>
      </c>
      <c r="I1459">
        <v>1539</v>
      </c>
      <c r="J1459" t="s">
        <v>21</v>
      </c>
      <c r="K1459">
        <v>0</v>
      </c>
      <c r="L1459" t="s">
        <v>59</v>
      </c>
      <c r="M1459">
        <v>1040</v>
      </c>
    </row>
    <row r="1460" spans="1:13">
      <c r="A1460">
        <v>1454</v>
      </c>
      <c r="B1460">
        <v>54136</v>
      </c>
      <c r="C1460" t="s">
        <v>3393</v>
      </c>
      <c r="D1460" t="s">
        <v>566</v>
      </c>
      <c r="E1460" t="s">
        <v>3394</v>
      </c>
      <c r="F1460" t="str">
        <f>"00365155"</f>
        <v>00365155</v>
      </c>
      <c r="G1460" t="s">
        <v>3395</v>
      </c>
      <c r="H1460" t="s">
        <v>20</v>
      </c>
      <c r="I1460">
        <v>1537</v>
      </c>
      <c r="J1460" t="s">
        <v>21</v>
      </c>
      <c r="K1460">
        <v>6</v>
      </c>
      <c r="M1460">
        <v>1128</v>
      </c>
    </row>
    <row r="1461" spans="1:13">
      <c r="A1461">
        <v>1455</v>
      </c>
      <c r="B1461">
        <v>91549</v>
      </c>
      <c r="C1461" t="s">
        <v>3396</v>
      </c>
      <c r="D1461" t="s">
        <v>243</v>
      </c>
      <c r="E1461" t="s">
        <v>3397</v>
      </c>
      <c r="F1461" t="str">
        <f>"00405791"</f>
        <v>00405791</v>
      </c>
      <c r="G1461" t="s">
        <v>3398</v>
      </c>
      <c r="H1461" t="s">
        <v>20</v>
      </c>
      <c r="I1461">
        <v>1518</v>
      </c>
      <c r="J1461" t="s">
        <v>21</v>
      </c>
      <c r="K1461">
        <v>7</v>
      </c>
      <c r="M1461">
        <v>1461</v>
      </c>
    </row>
    <row r="1462" spans="1:13">
      <c r="A1462">
        <v>1456</v>
      </c>
      <c r="B1462">
        <v>47083</v>
      </c>
      <c r="C1462" t="s">
        <v>3399</v>
      </c>
      <c r="D1462" t="s">
        <v>98</v>
      </c>
      <c r="E1462" t="s">
        <v>3400</v>
      </c>
      <c r="F1462" t="str">
        <f>"00365080"</f>
        <v>00365080</v>
      </c>
      <c r="G1462" t="s">
        <v>107</v>
      </c>
      <c r="H1462" t="s">
        <v>20</v>
      </c>
      <c r="I1462">
        <v>1472</v>
      </c>
      <c r="J1462" t="s">
        <v>21</v>
      </c>
      <c r="K1462">
        <v>0</v>
      </c>
      <c r="L1462" t="s">
        <v>35</v>
      </c>
      <c r="M1462">
        <v>1008</v>
      </c>
    </row>
    <row r="1463" spans="1:13">
      <c r="A1463">
        <v>1457</v>
      </c>
      <c r="B1463">
        <v>112474</v>
      </c>
      <c r="C1463" t="s">
        <v>3401</v>
      </c>
      <c r="D1463" t="s">
        <v>218</v>
      </c>
      <c r="E1463" t="s">
        <v>3402</v>
      </c>
      <c r="F1463" t="str">
        <f>"00421632"</f>
        <v>00421632</v>
      </c>
      <c r="G1463" t="s">
        <v>1245</v>
      </c>
      <c r="H1463" t="s">
        <v>20</v>
      </c>
      <c r="I1463">
        <v>1527</v>
      </c>
      <c r="J1463" t="s">
        <v>21</v>
      </c>
      <c r="K1463">
        <v>0</v>
      </c>
      <c r="L1463" t="s">
        <v>35</v>
      </c>
      <c r="M1463">
        <v>1108</v>
      </c>
    </row>
    <row r="1464" spans="1:13">
      <c r="A1464">
        <v>1458</v>
      </c>
      <c r="B1464">
        <v>99713</v>
      </c>
      <c r="C1464" t="s">
        <v>3403</v>
      </c>
      <c r="D1464" t="s">
        <v>243</v>
      </c>
      <c r="E1464" t="s">
        <v>3404</v>
      </c>
      <c r="F1464" t="str">
        <f>"00379031"</f>
        <v>00379031</v>
      </c>
      <c r="G1464" t="s">
        <v>294</v>
      </c>
      <c r="H1464" t="s">
        <v>20</v>
      </c>
      <c r="I1464">
        <v>1421</v>
      </c>
      <c r="J1464" t="s">
        <v>21</v>
      </c>
      <c r="K1464">
        <v>0</v>
      </c>
      <c r="L1464" t="s">
        <v>35</v>
      </c>
      <c r="M1464">
        <v>1100</v>
      </c>
    </row>
    <row r="1465" spans="1:13">
      <c r="A1465">
        <v>1459</v>
      </c>
      <c r="B1465">
        <v>49755</v>
      </c>
      <c r="C1465" t="s">
        <v>3405</v>
      </c>
      <c r="D1465" t="s">
        <v>80</v>
      </c>
      <c r="E1465" t="s">
        <v>3406</v>
      </c>
      <c r="F1465" t="str">
        <f>"201511007078"</f>
        <v>201511007078</v>
      </c>
      <c r="G1465" t="s">
        <v>2817</v>
      </c>
      <c r="H1465" t="s">
        <v>20</v>
      </c>
      <c r="I1465">
        <v>1493</v>
      </c>
      <c r="J1465" t="s">
        <v>21</v>
      </c>
      <c r="K1465">
        <v>0</v>
      </c>
      <c r="L1465" t="s">
        <v>59</v>
      </c>
      <c r="M1465">
        <v>838</v>
      </c>
    </row>
    <row r="1466" spans="1:13">
      <c r="A1466">
        <v>1460</v>
      </c>
      <c r="B1466">
        <v>47460</v>
      </c>
      <c r="C1466" t="s">
        <v>3407</v>
      </c>
      <c r="D1466" t="s">
        <v>811</v>
      </c>
      <c r="E1466" t="s">
        <v>3408</v>
      </c>
      <c r="F1466" t="str">
        <f>"00371041"</f>
        <v>00371041</v>
      </c>
      <c r="G1466" t="s">
        <v>704</v>
      </c>
      <c r="H1466" t="s">
        <v>20</v>
      </c>
      <c r="I1466">
        <v>1447</v>
      </c>
      <c r="J1466" t="s">
        <v>21</v>
      </c>
      <c r="K1466">
        <v>6</v>
      </c>
      <c r="L1466" t="s">
        <v>35</v>
      </c>
      <c r="M1466">
        <v>1175</v>
      </c>
    </row>
    <row r="1467" spans="1:13">
      <c r="A1467">
        <v>1461</v>
      </c>
      <c r="B1467">
        <v>85487</v>
      </c>
      <c r="C1467" t="s">
        <v>3409</v>
      </c>
      <c r="D1467" t="s">
        <v>76</v>
      </c>
      <c r="E1467" t="s">
        <v>3410</v>
      </c>
      <c r="F1467" t="str">
        <f>"00378733"</f>
        <v>00378733</v>
      </c>
      <c r="G1467" t="s">
        <v>47</v>
      </c>
      <c r="H1467" t="s">
        <v>48</v>
      </c>
      <c r="I1467">
        <v>1623</v>
      </c>
      <c r="J1467" t="s">
        <v>21</v>
      </c>
      <c r="K1467">
        <v>0</v>
      </c>
      <c r="L1467" t="s">
        <v>35</v>
      </c>
      <c r="M1467">
        <v>900</v>
      </c>
    </row>
    <row r="1468" spans="1:13">
      <c r="A1468">
        <v>1462</v>
      </c>
      <c r="B1468">
        <v>80769</v>
      </c>
      <c r="C1468" t="s">
        <v>3411</v>
      </c>
      <c r="D1468" t="s">
        <v>80</v>
      </c>
      <c r="E1468" t="s">
        <v>3412</v>
      </c>
      <c r="F1468" t="str">
        <f>"00401699"</f>
        <v>00401699</v>
      </c>
      <c r="G1468" t="s">
        <v>883</v>
      </c>
      <c r="H1468" t="s">
        <v>270</v>
      </c>
      <c r="I1468">
        <v>1585</v>
      </c>
      <c r="J1468" t="s">
        <v>21</v>
      </c>
      <c r="K1468">
        <v>0</v>
      </c>
      <c r="L1468" t="s">
        <v>35</v>
      </c>
      <c r="M1468">
        <v>1000</v>
      </c>
    </row>
    <row r="1469" spans="1:13">
      <c r="A1469">
        <v>1463</v>
      </c>
      <c r="B1469">
        <v>73592</v>
      </c>
      <c r="C1469" t="s">
        <v>3413</v>
      </c>
      <c r="D1469" t="s">
        <v>76</v>
      </c>
      <c r="E1469" t="s">
        <v>3414</v>
      </c>
      <c r="F1469" t="str">
        <f>"201511030583"</f>
        <v>201511030583</v>
      </c>
      <c r="G1469" t="s">
        <v>24</v>
      </c>
      <c r="H1469" t="s">
        <v>20</v>
      </c>
      <c r="I1469">
        <v>1577</v>
      </c>
      <c r="J1469" t="s">
        <v>21</v>
      </c>
      <c r="K1469">
        <v>0</v>
      </c>
      <c r="L1469" t="s">
        <v>59</v>
      </c>
      <c r="M1469">
        <v>1078</v>
      </c>
    </row>
    <row r="1470" spans="1:13">
      <c r="A1470">
        <v>1464</v>
      </c>
      <c r="B1470">
        <v>97555</v>
      </c>
      <c r="C1470" t="s">
        <v>3415</v>
      </c>
      <c r="D1470" t="s">
        <v>102</v>
      </c>
      <c r="E1470" t="s">
        <v>3416</v>
      </c>
      <c r="F1470" t="str">
        <f>"200801007831"</f>
        <v>200801007831</v>
      </c>
      <c r="G1470" t="s">
        <v>63</v>
      </c>
      <c r="H1470" t="s">
        <v>2172</v>
      </c>
      <c r="I1470">
        <v>1698</v>
      </c>
      <c r="J1470" t="s">
        <v>21</v>
      </c>
      <c r="K1470">
        <v>0</v>
      </c>
      <c r="M1470">
        <v>1338</v>
      </c>
    </row>
    <row r="1471" spans="1:13">
      <c r="A1471">
        <v>1465</v>
      </c>
      <c r="B1471">
        <v>113585</v>
      </c>
      <c r="C1471" t="s">
        <v>3417</v>
      </c>
      <c r="D1471" t="s">
        <v>102</v>
      </c>
      <c r="E1471" t="s">
        <v>3418</v>
      </c>
      <c r="F1471" t="str">
        <f>"00249797"</f>
        <v>00249797</v>
      </c>
      <c r="G1471" t="s">
        <v>488</v>
      </c>
      <c r="H1471" t="s">
        <v>20</v>
      </c>
      <c r="I1471">
        <v>1482</v>
      </c>
      <c r="J1471" t="s">
        <v>21</v>
      </c>
      <c r="K1471">
        <v>0</v>
      </c>
      <c r="L1471" t="s">
        <v>35</v>
      </c>
      <c r="M1471">
        <v>1150</v>
      </c>
    </row>
    <row r="1472" spans="1:13">
      <c r="A1472">
        <v>1466</v>
      </c>
      <c r="B1472">
        <v>99679</v>
      </c>
      <c r="C1472" t="s">
        <v>3419</v>
      </c>
      <c r="D1472" t="s">
        <v>76</v>
      </c>
      <c r="E1472" t="s">
        <v>3420</v>
      </c>
      <c r="F1472" t="str">
        <f>"201407000034"</f>
        <v>201407000034</v>
      </c>
      <c r="G1472" t="s">
        <v>47</v>
      </c>
      <c r="H1472" t="s">
        <v>48</v>
      </c>
      <c r="I1472">
        <v>1623</v>
      </c>
      <c r="J1472" t="s">
        <v>21</v>
      </c>
      <c r="K1472">
        <v>0</v>
      </c>
      <c r="L1472" t="s">
        <v>112</v>
      </c>
      <c r="M1472">
        <v>800</v>
      </c>
    </row>
    <row r="1473" spans="1:13">
      <c r="A1473">
        <v>1467</v>
      </c>
      <c r="B1473">
        <v>82658</v>
      </c>
      <c r="C1473" t="s">
        <v>3421</v>
      </c>
      <c r="D1473" t="s">
        <v>288</v>
      </c>
      <c r="E1473" t="s">
        <v>3422</v>
      </c>
      <c r="F1473" t="str">
        <f>"00416257"</f>
        <v>00416257</v>
      </c>
      <c r="G1473" t="s">
        <v>718</v>
      </c>
      <c r="H1473" t="s">
        <v>48</v>
      </c>
      <c r="I1473">
        <v>1625</v>
      </c>
      <c r="J1473" t="s">
        <v>21</v>
      </c>
      <c r="K1473">
        <v>0</v>
      </c>
      <c r="L1473" t="s">
        <v>35</v>
      </c>
      <c r="M1473">
        <v>1134</v>
      </c>
    </row>
    <row r="1474" spans="1:13">
      <c r="A1474">
        <v>1468</v>
      </c>
      <c r="B1474">
        <v>103823</v>
      </c>
      <c r="C1474" t="s">
        <v>3423</v>
      </c>
      <c r="D1474" t="s">
        <v>2029</v>
      </c>
      <c r="E1474" t="s">
        <v>3424</v>
      </c>
      <c r="F1474" t="str">
        <f>"00371913"</f>
        <v>00371913</v>
      </c>
      <c r="G1474" t="s">
        <v>3425</v>
      </c>
      <c r="H1474" t="s">
        <v>20</v>
      </c>
      <c r="I1474">
        <v>1453</v>
      </c>
      <c r="J1474" t="s">
        <v>21</v>
      </c>
      <c r="K1474">
        <v>0</v>
      </c>
      <c r="M1474">
        <v>1528</v>
      </c>
    </row>
    <row r="1475" spans="1:13">
      <c r="A1475">
        <v>1469</v>
      </c>
      <c r="B1475">
        <v>96545</v>
      </c>
      <c r="C1475" t="s">
        <v>3426</v>
      </c>
      <c r="D1475" t="s">
        <v>80</v>
      </c>
      <c r="E1475" t="s">
        <v>3427</v>
      </c>
      <c r="F1475" t="str">
        <f>"00347081"</f>
        <v>00347081</v>
      </c>
      <c r="G1475" t="s">
        <v>107</v>
      </c>
      <c r="H1475" t="s">
        <v>20</v>
      </c>
      <c r="I1475">
        <v>1472</v>
      </c>
      <c r="J1475" t="s">
        <v>21</v>
      </c>
      <c r="K1475">
        <v>0</v>
      </c>
      <c r="M1475">
        <v>1728</v>
      </c>
    </row>
    <row r="1476" spans="1:13">
      <c r="A1476">
        <v>1470</v>
      </c>
      <c r="B1476">
        <v>94408</v>
      </c>
      <c r="C1476" t="s">
        <v>3428</v>
      </c>
      <c r="D1476" t="s">
        <v>238</v>
      </c>
      <c r="E1476" t="s">
        <v>3429</v>
      </c>
      <c r="F1476" t="str">
        <f>"00302208"</f>
        <v>00302208</v>
      </c>
      <c r="G1476" t="s">
        <v>488</v>
      </c>
      <c r="H1476" t="s">
        <v>20</v>
      </c>
      <c r="I1476">
        <v>1482</v>
      </c>
      <c r="J1476" t="s">
        <v>21</v>
      </c>
      <c r="K1476">
        <v>0</v>
      </c>
      <c r="L1476" t="s">
        <v>35</v>
      </c>
      <c r="M1476">
        <v>1100</v>
      </c>
    </row>
    <row r="1477" spans="1:13">
      <c r="A1477">
        <v>1471</v>
      </c>
      <c r="B1477">
        <v>78471</v>
      </c>
      <c r="C1477" t="s">
        <v>3430</v>
      </c>
      <c r="D1477" t="s">
        <v>145</v>
      </c>
      <c r="E1477" t="s">
        <v>3431</v>
      </c>
      <c r="F1477" t="str">
        <f>"00075149"</f>
        <v>00075149</v>
      </c>
      <c r="G1477" t="s">
        <v>47</v>
      </c>
      <c r="H1477" t="s">
        <v>48</v>
      </c>
      <c r="I1477">
        <v>1623</v>
      </c>
      <c r="J1477" t="s">
        <v>21</v>
      </c>
      <c r="K1477">
        <v>0</v>
      </c>
      <c r="L1477" t="s">
        <v>112</v>
      </c>
      <c r="M1477">
        <v>783</v>
      </c>
    </row>
    <row r="1478" spans="1:13">
      <c r="A1478">
        <v>1472</v>
      </c>
      <c r="B1478">
        <v>94938</v>
      </c>
      <c r="C1478" t="s">
        <v>3432</v>
      </c>
      <c r="D1478" t="s">
        <v>243</v>
      </c>
      <c r="E1478" t="s">
        <v>3433</v>
      </c>
      <c r="F1478" t="str">
        <f>"00400995"</f>
        <v>00400995</v>
      </c>
      <c r="G1478" t="s">
        <v>111</v>
      </c>
      <c r="H1478" t="s">
        <v>48</v>
      </c>
      <c r="I1478">
        <v>1620</v>
      </c>
      <c r="J1478" t="s">
        <v>21</v>
      </c>
      <c r="K1478">
        <v>0</v>
      </c>
      <c r="M1478">
        <v>1428</v>
      </c>
    </row>
    <row r="1479" spans="1:13">
      <c r="A1479">
        <v>1473</v>
      </c>
      <c r="B1479">
        <v>105245</v>
      </c>
      <c r="C1479" t="s">
        <v>3434</v>
      </c>
      <c r="D1479" t="s">
        <v>243</v>
      </c>
      <c r="E1479" t="s">
        <v>3435</v>
      </c>
      <c r="F1479" t="str">
        <f>"00364008"</f>
        <v>00364008</v>
      </c>
      <c r="G1479" t="s">
        <v>47</v>
      </c>
      <c r="H1479" t="s">
        <v>48</v>
      </c>
      <c r="I1479">
        <v>1623</v>
      </c>
      <c r="J1479" t="s">
        <v>21</v>
      </c>
      <c r="K1479">
        <v>0</v>
      </c>
      <c r="L1479" t="s">
        <v>88</v>
      </c>
      <c r="M1479">
        <v>500</v>
      </c>
    </row>
    <row r="1480" spans="1:13">
      <c r="A1480">
        <v>1474</v>
      </c>
      <c r="B1480">
        <v>86998</v>
      </c>
      <c r="C1480" t="s">
        <v>3436</v>
      </c>
      <c r="D1480" t="s">
        <v>80</v>
      </c>
      <c r="E1480" t="s">
        <v>3437</v>
      </c>
      <c r="F1480" t="str">
        <f>"00370728"</f>
        <v>00370728</v>
      </c>
      <c r="G1480" t="s">
        <v>200</v>
      </c>
      <c r="H1480" t="s">
        <v>20</v>
      </c>
      <c r="I1480">
        <v>1492</v>
      </c>
      <c r="J1480" t="s">
        <v>21</v>
      </c>
      <c r="K1480">
        <v>0</v>
      </c>
      <c r="M1480">
        <v>1461</v>
      </c>
    </row>
    <row r="1481" spans="1:13">
      <c r="A1481">
        <v>1475</v>
      </c>
      <c r="B1481">
        <v>47636</v>
      </c>
      <c r="C1481" t="s">
        <v>3438</v>
      </c>
      <c r="D1481" t="s">
        <v>180</v>
      </c>
      <c r="E1481" t="s">
        <v>3439</v>
      </c>
      <c r="F1481" t="str">
        <f>"00234972"</f>
        <v>00234972</v>
      </c>
      <c r="G1481" t="s">
        <v>107</v>
      </c>
      <c r="H1481" t="s">
        <v>20</v>
      </c>
      <c r="I1481">
        <v>1472</v>
      </c>
      <c r="J1481" t="s">
        <v>21</v>
      </c>
      <c r="K1481">
        <v>0</v>
      </c>
      <c r="M1481">
        <v>1728</v>
      </c>
    </row>
    <row r="1482" spans="1:13">
      <c r="A1482">
        <v>1476</v>
      </c>
      <c r="B1482">
        <v>46964</v>
      </c>
      <c r="C1482" t="s">
        <v>3440</v>
      </c>
      <c r="D1482" t="s">
        <v>102</v>
      </c>
      <c r="E1482" t="s">
        <v>3441</v>
      </c>
      <c r="F1482" t="str">
        <f>"00356990"</f>
        <v>00356990</v>
      </c>
      <c r="G1482" t="s">
        <v>534</v>
      </c>
      <c r="H1482" t="s">
        <v>535</v>
      </c>
      <c r="I1482">
        <v>1667</v>
      </c>
      <c r="J1482" t="s">
        <v>21</v>
      </c>
      <c r="K1482">
        <v>0</v>
      </c>
      <c r="L1482" t="s">
        <v>35</v>
      </c>
      <c r="M1482">
        <v>1208</v>
      </c>
    </row>
    <row r="1483" spans="1:13">
      <c r="A1483">
        <v>1477</v>
      </c>
      <c r="B1483">
        <v>48765</v>
      </c>
      <c r="C1483" t="s">
        <v>3442</v>
      </c>
      <c r="D1483" t="s">
        <v>209</v>
      </c>
      <c r="E1483" t="s">
        <v>3443</v>
      </c>
      <c r="F1483" t="str">
        <f>"00295956"</f>
        <v>00295956</v>
      </c>
      <c r="G1483" t="s">
        <v>107</v>
      </c>
      <c r="H1483" t="s">
        <v>20</v>
      </c>
      <c r="I1483">
        <v>1472</v>
      </c>
      <c r="J1483" t="s">
        <v>21</v>
      </c>
      <c r="K1483">
        <v>0</v>
      </c>
      <c r="M1483">
        <v>1548</v>
      </c>
    </row>
    <row r="1484" spans="1:13">
      <c r="A1484">
        <v>1478</v>
      </c>
      <c r="B1484">
        <v>114598</v>
      </c>
      <c r="C1484" t="s">
        <v>3444</v>
      </c>
      <c r="D1484" t="s">
        <v>153</v>
      </c>
      <c r="E1484" t="s">
        <v>3445</v>
      </c>
      <c r="F1484" t="str">
        <f>"00097433"</f>
        <v>00097433</v>
      </c>
      <c r="G1484" t="s">
        <v>19</v>
      </c>
      <c r="H1484" t="s">
        <v>20</v>
      </c>
      <c r="I1484">
        <v>1531</v>
      </c>
      <c r="J1484" t="s">
        <v>21</v>
      </c>
      <c r="K1484">
        <v>0</v>
      </c>
      <c r="L1484" t="s">
        <v>59</v>
      </c>
      <c r="M1484">
        <v>988</v>
      </c>
    </row>
    <row r="1485" spans="1:13">
      <c r="A1485">
        <v>1479</v>
      </c>
      <c r="B1485">
        <v>64946</v>
      </c>
      <c r="C1485" t="s">
        <v>3446</v>
      </c>
      <c r="D1485" t="s">
        <v>3447</v>
      </c>
      <c r="E1485" t="s">
        <v>3448</v>
      </c>
      <c r="F1485" t="str">
        <f>"00357417"</f>
        <v>00357417</v>
      </c>
      <c r="G1485" t="s">
        <v>387</v>
      </c>
      <c r="H1485" t="s">
        <v>234</v>
      </c>
      <c r="I1485">
        <v>1340</v>
      </c>
      <c r="J1485" t="s">
        <v>21</v>
      </c>
      <c r="K1485">
        <v>0</v>
      </c>
      <c r="M1485">
        <v>1674</v>
      </c>
    </row>
    <row r="1486" spans="1:13">
      <c r="A1486">
        <v>1480</v>
      </c>
      <c r="B1486">
        <v>103780</v>
      </c>
      <c r="C1486" t="s">
        <v>3449</v>
      </c>
      <c r="D1486" t="s">
        <v>566</v>
      </c>
      <c r="E1486" t="s">
        <v>3450</v>
      </c>
      <c r="F1486" t="str">
        <f>"00368805"</f>
        <v>00368805</v>
      </c>
      <c r="G1486" t="s">
        <v>47</v>
      </c>
      <c r="H1486" t="s">
        <v>48</v>
      </c>
      <c r="I1486">
        <v>1623</v>
      </c>
      <c r="J1486" t="s">
        <v>21</v>
      </c>
      <c r="K1486">
        <v>0</v>
      </c>
      <c r="L1486" t="s">
        <v>35</v>
      </c>
      <c r="M1486">
        <v>883</v>
      </c>
    </row>
    <row r="1487" spans="1:13">
      <c r="A1487">
        <v>1481</v>
      </c>
      <c r="B1487">
        <v>55870</v>
      </c>
      <c r="C1487" t="s">
        <v>3451</v>
      </c>
      <c r="D1487" t="s">
        <v>198</v>
      </c>
      <c r="E1487" t="s">
        <v>3452</v>
      </c>
      <c r="F1487" t="str">
        <f>"201510000447"</f>
        <v>201510000447</v>
      </c>
      <c r="G1487" t="s">
        <v>488</v>
      </c>
      <c r="H1487" t="s">
        <v>20</v>
      </c>
      <c r="I1487">
        <v>1482</v>
      </c>
      <c r="J1487" t="s">
        <v>21</v>
      </c>
      <c r="K1487">
        <v>0</v>
      </c>
      <c r="M1487">
        <v>1338</v>
      </c>
    </row>
    <row r="1488" spans="1:13">
      <c r="A1488">
        <v>1482</v>
      </c>
      <c r="B1488">
        <v>116951</v>
      </c>
      <c r="C1488" t="s">
        <v>3453</v>
      </c>
      <c r="D1488" t="s">
        <v>163</v>
      </c>
      <c r="E1488" t="s">
        <v>3454</v>
      </c>
      <c r="F1488" t="str">
        <f>"00397330"</f>
        <v>00397330</v>
      </c>
      <c r="G1488" t="s">
        <v>1079</v>
      </c>
      <c r="H1488" t="s">
        <v>20</v>
      </c>
      <c r="I1488">
        <v>1433</v>
      </c>
      <c r="J1488" t="s">
        <v>21</v>
      </c>
      <c r="K1488">
        <v>0</v>
      </c>
      <c r="L1488" t="s">
        <v>35</v>
      </c>
      <c r="M1488">
        <v>1008</v>
      </c>
    </row>
    <row r="1489" spans="1:13">
      <c r="A1489">
        <v>1483</v>
      </c>
      <c r="B1489">
        <v>99705</v>
      </c>
      <c r="C1489" t="s">
        <v>3455</v>
      </c>
      <c r="D1489" t="s">
        <v>139</v>
      </c>
      <c r="E1489" t="s">
        <v>3456</v>
      </c>
      <c r="F1489" t="str">
        <f>"00371012"</f>
        <v>00371012</v>
      </c>
      <c r="G1489" t="s">
        <v>590</v>
      </c>
      <c r="H1489" t="s">
        <v>535</v>
      </c>
      <c r="I1489">
        <v>1350</v>
      </c>
      <c r="J1489" t="s">
        <v>21</v>
      </c>
      <c r="K1489">
        <v>0</v>
      </c>
      <c r="M1489">
        <v>1528</v>
      </c>
    </row>
    <row r="1490" spans="1:13">
      <c r="A1490">
        <v>1484</v>
      </c>
      <c r="B1490">
        <v>52523</v>
      </c>
      <c r="C1490" t="s">
        <v>3457</v>
      </c>
      <c r="D1490" t="s">
        <v>121</v>
      </c>
      <c r="E1490" t="s">
        <v>3458</v>
      </c>
      <c r="F1490" t="str">
        <f>"201501000162"</f>
        <v>201501000162</v>
      </c>
      <c r="G1490" t="s">
        <v>47</v>
      </c>
      <c r="H1490" t="s">
        <v>48</v>
      </c>
      <c r="I1490">
        <v>1623</v>
      </c>
      <c r="J1490" t="s">
        <v>21</v>
      </c>
      <c r="K1490">
        <v>0</v>
      </c>
      <c r="M1490">
        <v>1469</v>
      </c>
    </row>
    <row r="1491" spans="1:13">
      <c r="A1491">
        <v>1485</v>
      </c>
      <c r="B1491">
        <v>55432</v>
      </c>
      <c r="C1491" t="s">
        <v>3459</v>
      </c>
      <c r="D1491" t="s">
        <v>905</v>
      </c>
      <c r="E1491" t="s">
        <v>3460</v>
      </c>
      <c r="F1491" t="str">
        <f>"00361182"</f>
        <v>00361182</v>
      </c>
      <c r="G1491" t="s">
        <v>150</v>
      </c>
      <c r="H1491" t="s">
        <v>151</v>
      </c>
      <c r="I1491">
        <v>1699</v>
      </c>
      <c r="J1491" t="s">
        <v>21</v>
      </c>
      <c r="K1491">
        <v>0</v>
      </c>
      <c r="M1491">
        <v>1388</v>
      </c>
    </row>
    <row r="1492" spans="1:13">
      <c r="A1492">
        <v>1486</v>
      </c>
      <c r="B1492">
        <v>82343</v>
      </c>
      <c r="C1492" t="s">
        <v>3461</v>
      </c>
      <c r="D1492" t="s">
        <v>76</v>
      </c>
      <c r="E1492" t="s">
        <v>3462</v>
      </c>
      <c r="F1492" t="str">
        <f>"00251895"</f>
        <v>00251895</v>
      </c>
      <c r="G1492" t="s">
        <v>150</v>
      </c>
      <c r="H1492" t="s">
        <v>151</v>
      </c>
      <c r="I1492">
        <v>1699</v>
      </c>
      <c r="J1492" t="s">
        <v>21</v>
      </c>
      <c r="K1492">
        <v>0</v>
      </c>
      <c r="M1492">
        <v>1468</v>
      </c>
    </row>
    <row r="1493" spans="1:13">
      <c r="A1493">
        <v>1487</v>
      </c>
      <c r="B1493">
        <v>100095</v>
      </c>
      <c r="C1493" t="s">
        <v>3463</v>
      </c>
      <c r="D1493" t="s">
        <v>391</v>
      </c>
      <c r="E1493" t="s">
        <v>3464</v>
      </c>
      <c r="F1493" t="str">
        <f>"00387781"</f>
        <v>00387781</v>
      </c>
      <c r="G1493" t="s">
        <v>87</v>
      </c>
      <c r="H1493" t="s">
        <v>20</v>
      </c>
      <c r="I1493">
        <v>1436</v>
      </c>
      <c r="J1493" t="s">
        <v>21</v>
      </c>
      <c r="K1493">
        <v>0</v>
      </c>
      <c r="M1493">
        <v>1388</v>
      </c>
    </row>
    <row r="1494" spans="1:13">
      <c r="A1494">
        <v>1488</v>
      </c>
      <c r="B1494">
        <v>116736</v>
      </c>
      <c r="C1494" t="s">
        <v>3465</v>
      </c>
      <c r="D1494" t="s">
        <v>249</v>
      </c>
      <c r="E1494" t="s">
        <v>3466</v>
      </c>
      <c r="F1494" t="str">
        <f>"00192492"</f>
        <v>00192492</v>
      </c>
      <c r="G1494" t="s">
        <v>125</v>
      </c>
      <c r="H1494" t="s">
        <v>20</v>
      </c>
      <c r="I1494">
        <v>1507</v>
      </c>
      <c r="J1494" t="s">
        <v>21</v>
      </c>
      <c r="K1494">
        <v>0</v>
      </c>
      <c r="L1494" t="s">
        <v>83</v>
      </c>
      <c r="M1494">
        <v>1238</v>
      </c>
    </row>
    <row r="1495" spans="1:13">
      <c r="A1495">
        <v>1489</v>
      </c>
      <c r="B1495">
        <v>96389</v>
      </c>
      <c r="C1495" t="s">
        <v>3467</v>
      </c>
      <c r="D1495" t="s">
        <v>288</v>
      </c>
      <c r="E1495" t="s">
        <v>3468</v>
      </c>
      <c r="F1495" t="str">
        <f>"201511016537"</f>
        <v>201511016537</v>
      </c>
      <c r="G1495" t="s">
        <v>47</v>
      </c>
      <c r="H1495" t="s">
        <v>48</v>
      </c>
      <c r="I1495">
        <v>1623</v>
      </c>
      <c r="J1495" t="s">
        <v>21</v>
      </c>
      <c r="K1495">
        <v>0</v>
      </c>
      <c r="L1495" t="s">
        <v>88</v>
      </c>
      <c r="M1495">
        <v>760</v>
      </c>
    </row>
    <row r="1496" spans="1:13">
      <c r="A1496">
        <v>1490</v>
      </c>
      <c r="B1496">
        <v>105333</v>
      </c>
      <c r="C1496" t="s">
        <v>3469</v>
      </c>
      <c r="D1496" t="s">
        <v>3470</v>
      </c>
      <c r="E1496" t="s">
        <v>3471</v>
      </c>
      <c r="F1496" t="str">
        <f>"00388868"</f>
        <v>00388868</v>
      </c>
      <c r="G1496" t="s">
        <v>100</v>
      </c>
      <c r="H1496" t="s">
        <v>20</v>
      </c>
      <c r="I1496">
        <v>1468</v>
      </c>
      <c r="J1496" t="s">
        <v>21</v>
      </c>
      <c r="K1496">
        <v>0</v>
      </c>
      <c r="L1496" t="s">
        <v>35</v>
      </c>
      <c r="M1496">
        <v>1091</v>
      </c>
    </row>
    <row r="1497" spans="1:13">
      <c r="A1497">
        <v>1491</v>
      </c>
      <c r="B1497">
        <v>46395</v>
      </c>
      <c r="C1497" t="s">
        <v>3472</v>
      </c>
      <c r="D1497" t="s">
        <v>243</v>
      </c>
      <c r="E1497" t="s">
        <v>3473</v>
      </c>
      <c r="F1497" t="str">
        <f>"00348240"</f>
        <v>00348240</v>
      </c>
      <c r="G1497" t="s">
        <v>728</v>
      </c>
      <c r="H1497" t="s">
        <v>20</v>
      </c>
      <c r="I1497">
        <v>1551</v>
      </c>
      <c r="J1497" t="s">
        <v>21</v>
      </c>
      <c r="K1497">
        <v>6</v>
      </c>
      <c r="L1497" t="s">
        <v>35</v>
      </c>
      <c r="M1497">
        <v>808</v>
      </c>
    </row>
    <row r="1498" spans="1:13">
      <c r="A1498">
        <v>1492</v>
      </c>
      <c r="B1498">
        <v>74613</v>
      </c>
      <c r="C1498" t="s">
        <v>3474</v>
      </c>
      <c r="D1498" t="s">
        <v>198</v>
      </c>
      <c r="E1498" t="s">
        <v>3475</v>
      </c>
      <c r="F1498" t="str">
        <f>"00198206"</f>
        <v>00198206</v>
      </c>
      <c r="G1498" t="s">
        <v>96</v>
      </c>
      <c r="H1498" t="s">
        <v>20</v>
      </c>
      <c r="I1498">
        <v>1474</v>
      </c>
      <c r="J1498" t="s">
        <v>21</v>
      </c>
      <c r="K1498">
        <v>0</v>
      </c>
      <c r="L1498" t="s">
        <v>35</v>
      </c>
      <c r="M1498">
        <v>1000</v>
      </c>
    </row>
    <row r="1499" spans="1:13">
      <c r="A1499">
        <v>1493</v>
      </c>
      <c r="B1499">
        <v>85270</v>
      </c>
      <c r="C1499" t="s">
        <v>3476</v>
      </c>
      <c r="D1499" t="s">
        <v>205</v>
      </c>
      <c r="E1499" t="s">
        <v>3477</v>
      </c>
      <c r="F1499" t="str">
        <f>"00039831"</f>
        <v>00039831</v>
      </c>
      <c r="G1499" t="s">
        <v>284</v>
      </c>
      <c r="H1499" t="s">
        <v>270</v>
      </c>
      <c r="I1499">
        <v>1586</v>
      </c>
      <c r="J1499" t="s">
        <v>21</v>
      </c>
      <c r="K1499">
        <v>0</v>
      </c>
      <c r="L1499" t="s">
        <v>83</v>
      </c>
      <c r="M1499">
        <v>1318</v>
      </c>
    </row>
    <row r="1500" spans="1:13">
      <c r="A1500">
        <v>1494</v>
      </c>
      <c r="B1500">
        <v>97780</v>
      </c>
      <c r="C1500" t="s">
        <v>3478</v>
      </c>
      <c r="D1500" t="s">
        <v>205</v>
      </c>
      <c r="E1500" t="s">
        <v>3479</v>
      </c>
      <c r="F1500" t="str">
        <f>"201512001783"</f>
        <v>201512001783</v>
      </c>
      <c r="G1500" t="s">
        <v>2142</v>
      </c>
      <c r="H1500" t="s">
        <v>20</v>
      </c>
      <c r="I1500">
        <v>1423</v>
      </c>
      <c r="J1500" t="s">
        <v>21</v>
      </c>
      <c r="K1500">
        <v>0</v>
      </c>
      <c r="L1500" t="s">
        <v>35</v>
      </c>
      <c r="M1500">
        <v>1100</v>
      </c>
    </row>
    <row r="1501" spans="1:13">
      <c r="A1501">
        <v>1495</v>
      </c>
      <c r="B1501">
        <v>97947</v>
      </c>
      <c r="C1501" t="s">
        <v>3480</v>
      </c>
      <c r="D1501" t="s">
        <v>145</v>
      </c>
      <c r="E1501" t="s">
        <v>3481</v>
      </c>
      <c r="F1501" t="str">
        <f>"00380956"</f>
        <v>00380956</v>
      </c>
      <c r="G1501" t="s">
        <v>856</v>
      </c>
      <c r="H1501" t="s">
        <v>366</v>
      </c>
      <c r="I1501">
        <v>1706</v>
      </c>
      <c r="J1501" t="s">
        <v>21</v>
      </c>
      <c r="K1501">
        <v>0</v>
      </c>
      <c r="M1501">
        <v>1388</v>
      </c>
    </row>
    <row r="1502" spans="1:13">
      <c r="A1502">
        <v>1496</v>
      </c>
      <c r="B1502">
        <v>71610</v>
      </c>
      <c r="C1502" t="s">
        <v>3482</v>
      </c>
      <c r="D1502" t="s">
        <v>76</v>
      </c>
      <c r="E1502" t="s">
        <v>3483</v>
      </c>
      <c r="F1502" t="str">
        <f>"00228565"</f>
        <v>00228565</v>
      </c>
      <c r="G1502" t="s">
        <v>125</v>
      </c>
      <c r="H1502" t="s">
        <v>20</v>
      </c>
      <c r="I1502">
        <v>1507</v>
      </c>
      <c r="J1502" t="s">
        <v>21</v>
      </c>
      <c r="K1502">
        <v>0</v>
      </c>
      <c r="L1502" t="s">
        <v>88</v>
      </c>
      <c r="M1502">
        <v>786</v>
      </c>
    </row>
    <row r="1503" spans="1:13">
      <c r="A1503">
        <v>1497</v>
      </c>
      <c r="B1503">
        <v>80329</v>
      </c>
      <c r="C1503" t="s">
        <v>3484</v>
      </c>
      <c r="D1503" t="s">
        <v>218</v>
      </c>
      <c r="E1503" t="s">
        <v>3485</v>
      </c>
      <c r="F1503" t="str">
        <f>"00390139"</f>
        <v>00390139</v>
      </c>
      <c r="G1503" t="s">
        <v>2991</v>
      </c>
      <c r="H1503" t="s">
        <v>3486</v>
      </c>
      <c r="I1503">
        <v>1711</v>
      </c>
      <c r="J1503" t="s">
        <v>21</v>
      </c>
      <c r="K1503">
        <v>6</v>
      </c>
      <c r="M1503">
        <v>1388</v>
      </c>
    </row>
    <row r="1504" spans="1:13">
      <c r="A1504">
        <v>1498</v>
      </c>
      <c r="B1504">
        <v>114147</v>
      </c>
      <c r="C1504" t="s">
        <v>3487</v>
      </c>
      <c r="D1504" t="s">
        <v>139</v>
      </c>
      <c r="E1504" t="s">
        <v>3488</v>
      </c>
      <c r="F1504" t="str">
        <f>"201511006413"</f>
        <v>201511006413</v>
      </c>
      <c r="G1504" t="s">
        <v>87</v>
      </c>
      <c r="H1504" t="s">
        <v>1671</v>
      </c>
      <c r="I1504">
        <v>1716</v>
      </c>
      <c r="J1504" t="s">
        <v>21</v>
      </c>
      <c r="K1504">
        <v>0</v>
      </c>
      <c r="M1504">
        <v>1728</v>
      </c>
    </row>
    <row r="1505" spans="1:13">
      <c r="A1505">
        <v>1499</v>
      </c>
      <c r="B1505">
        <v>58548</v>
      </c>
      <c r="C1505" t="s">
        <v>3489</v>
      </c>
      <c r="D1505" t="s">
        <v>80</v>
      </c>
      <c r="E1505" t="s">
        <v>3490</v>
      </c>
      <c r="F1505" t="str">
        <f>"00365838"</f>
        <v>00365838</v>
      </c>
      <c r="G1505" t="s">
        <v>974</v>
      </c>
      <c r="H1505" t="s">
        <v>20</v>
      </c>
      <c r="I1505">
        <v>1449</v>
      </c>
      <c r="J1505" t="s">
        <v>21</v>
      </c>
      <c r="K1505">
        <v>6</v>
      </c>
      <c r="M1505">
        <v>1208</v>
      </c>
    </row>
    <row r="1506" spans="1:13">
      <c r="A1506">
        <v>1500</v>
      </c>
      <c r="B1506">
        <v>103799</v>
      </c>
      <c r="C1506" t="s">
        <v>3491</v>
      </c>
      <c r="D1506" t="s">
        <v>260</v>
      </c>
      <c r="E1506" t="s">
        <v>3492</v>
      </c>
      <c r="F1506" t="str">
        <f>"201406008882"</f>
        <v>201406008882</v>
      </c>
      <c r="G1506" t="s">
        <v>107</v>
      </c>
      <c r="H1506" t="s">
        <v>20</v>
      </c>
      <c r="I1506">
        <v>1472</v>
      </c>
      <c r="J1506" t="s">
        <v>21</v>
      </c>
      <c r="K1506">
        <v>0</v>
      </c>
      <c r="M1506">
        <v>1497</v>
      </c>
    </row>
    <row r="1507" spans="1:13">
      <c r="A1507">
        <v>1501</v>
      </c>
      <c r="B1507">
        <v>104307</v>
      </c>
      <c r="C1507" t="s">
        <v>3493</v>
      </c>
      <c r="D1507" t="s">
        <v>566</v>
      </c>
      <c r="E1507" t="s">
        <v>3494</v>
      </c>
      <c r="F1507" t="str">
        <f>"201512004873"</f>
        <v>201512004873</v>
      </c>
      <c r="G1507" t="s">
        <v>47</v>
      </c>
      <c r="H1507" t="s">
        <v>48</v>
      </c>
      <c r="I1507">
        <v>1623</v>
      </c>
      <c r="J1507" t="s">
        <v>21</v>
      </c>
      <c r="K1507">
        <v>0</v>
      </c>
      <c r="M1507">
        <v>1417</v>
      </c>
    </row>
    <row r="1508" spans="1:13">
      <c r="A1508">
        <v>1502</v>
      </c>
      <c r="B1508">
        <v>63728</v>
      </c>
      <c r="C1508" t="s">
        <v>3495</v>
      </c>
      <c r="D1508" t="s">
        <v>209</v>
      </c>
      <c r="E1508" t="s">
        <v>3496</v>
      </c>
      <c r="F1508" t="str">
        <f>"00109552"</f>
        <v>00109552</v>
      </c>
      <c r="G1508" t="s">
        <v>125</v>
      </c>
      <c r="H1508" t="s">
        <v>20</v>
      </c>
      <c r="I1508">
        <v>1507</v>
      </c>
      <c r="J1508" t="s">
        <v>21</v>
      </c>
      <c r="K1508">
        <v>0</v>
      </c>
      <c r="M1508">
        <v>1493</v>
      </c>
    </row>
    <row r="1509" spans="1:13">
      <c r="A1509">
        <v>1503</v>
      </c>
      <c r="B1509">
        <v>47855</v>
      </c>
      <c r="C1509" t="s">
        <v>3497</v>
      </c>
      <c r="D1509" t="s">
        <v>105</v>
      </c>
      <c r="E1509" t="s">
        <v>3498</v>
      </c>
      <c r="F1509" t="str">
        <f>"00353658"</f>
        <v>00353658</v>
      </c>
      <c r="G1509" t="s">
        <v>1890</v>
      </c>
      <c r="H1509" t="s">
        <v>3499</v>
      </c>
      <c r="I1509">
        <v>1672</v>
      </c>
      <c r="J1509" t="s">
        <v>21</v>
      </c>
      <c r="K1509">
        <v>0</v>
      </c>
      <c r="L1509" t="s">
        <v>35</v>
      </c>
      <c r="M1509">
        <v>950</v>
      </c>
    </row>
    <row r="1510" spans="1:13">
      <c r="A1510">
        <v>1504</v>
      </c>
      <c r="B1510">
        <v>80638</v>
      </c>
      <c r="C1510" t="s">
        <v>3500</v>
      </c>
      <c r="D1510" t="s">
        <v>105</v>
      </c>
      <c r="E1510" t="s">
        <v>3501</v>
      </c>
      <c r="F1510" t="str">
        <f>"00380123"</f>
        <v>00380123</v>
      </c>
      <c r="G1510" t="s">
        <v>233</v>
      </c>
      <c r="H1510" t="s">
        <v>234</v>
      </c>
      <c r="I1510">
        <v>1339</v>
      </c>
      <c r="J1510" t="s">
        <v>21</v>
      </c>
      <c r="K1510">
        <v>6</v>
      </c>
      <c r="L1510" t="s">
        <v>59</v>
      </c>
      <c r="M1510">
        <v>248</v>
      </c>
    </row>
    <row r="1511" spans="1:13">
      <c r="A1511">
        <v>1505</v>
      </c>
      <c r="B1511">
        <v>97607</v>
      </c>
      <c r="C1511" t="s">
        <v>3502</v>
      </c>
      <c r="D1511" t="s">
        <v>65</v>
      </c>
      <c r="E1511" t="s">
        <v>3503</v>
      </c>
      <c r="F1511" t="str">
        <f>"00380869"</f>
        <v>00380869</v>
      </c>
      <c r="G1511" t="s">
        <v>107</v>
      </c>
      <c r="H1511" t="s">
        <v>20</v>
      </c>
      <c r="I1511">
        <v>1472</v>
      </c>
      <c r="J1511" t="s">
        <v>21</v>
      </c>
      <c r="K1511">
        <v>0</v>
      </c>
      <c r="L1511" t="s">
        <v>35</v>
      </c>
      <c r="M1511">
        <v>908</v>
      </c>
    </row>
    <row r="1512" spans="1:13">
      <c r="A1512">
        <v>1506</v>
      </c>
      <c r="B1512">
        <v>63547</v>
      </c>
      <c r="C1512" t="s">
        <v>3504</v>
      </c>
      <c r="D1512" t="s">
        <v>243</v>
      </c>
      <c r="E1512" t="s">
        <v>3505</v>
      </c>
      <c r="F1512" t="str">
        <f>"00357538"</f>
        <v>00357538</v>
      </c>
      <c r="G1512" t="s">
        <v>230</v>
      </c>
      <c r="H1512" t="s">
        <v>20</v>
      </c>
      <c r="I1512">
        <v>1545</v>
      </c>
      <c r="J1512" t="s">
        <v>21</v>
      </c>
      <c r="K1512">
        <v>0</v>
      </c>
      <c r="L1512" t="s">
        <v>35</v>
      </c>
      <c r="M1512">
        <v>1400</v>
      </c>
    </row>
    <row r="1513" spans="1:13">
      <c r="A1513">
        <v>1507</v>
      </c>
      <c r="B1513">
        <v>55010</v>
      </c>
      <c r="C1513" t="s">
        <v>3506</v>
      </c>
      <c r="D1513" t="s">
        <v>121</v>
      </c>
      <c r="E1513" t="s">
        <v>3507</v>
      </c>
      <c r="F1513" t="str">
        <f>"00224207"</f>
        <v>00224207</v>
      </c>
      <c r="G1513" t="s">
        <v>107</v>
      </c>
      <c r="H1513" t="s">
        <v>20</v>
      </c>
      <c r="I1513">
        <v>1472</v>
      </c>
      <c r="J1513" t="s">
        <v>21</v>
      </c>
      <c r="K1513">
        <v>0</v>
      </c>
      <c r="L1513" t="s">
        <v>88</v>
      </c>
      <c r="M1513">
        <v>675</v>
      </c>
    </row>
    <row r="1514" spans="1:13">
      <c r="A1514">
        <v>1508</v>
      </c>
      <c r="B1514">
        <v>56193</v>
      </c>
      <c r="C1514" t="s">
        <v>3508</v>
      </c>
      <c r="D1514" t="s">
        <v>566</v>
      </c>
      <c r="E1514" t="s">
        <v>3509</v>
      </c>
      <c r="F1514" t="str">
        <f>"00385322"</f>
        <v>00385322</v>
      </c>
      <c r="G1514" t="s">
        <v>713</v>
      </c>
      <c r="H1514" t="s">
        <v>366</v>
      </c>
      <c r="I1514">
        <v>1690</v>
      </c>
      <c r="J1514" t="s">
        <v>21</v>
      </c>
      <c r="K1514">
        <v>0</v>
      </c>
      <c r="L1514" t="s">
        <v>59</v>
      </c>
      <c r="M1514">
        <v>1128</v>
      </c>
    </row>
    <row r="1515" spans="1:13">
      <c r="A1515">
        <v>1509</v>
      </c>
      <c r="B1515">
        <v>71329</v>
      </c>
      <c r="C1515" t="s">
        <v>3510</v>
      </c>
      <c r="D1515" t="s">
        <v>180</v>
      </c>
      <c r="E1515" t="s">
        <v>3511</v>
      </c>
      <c r="F1515" t="str">
        <f>"00207578"</f>
        <v>00207578</v>
      </c>
      <c r="G1515" t="s">
        <v>196</v>
      </c>
      <c r="H1515" t="s">
        <v>20</v>
      </c>
      <c r="I1515">
        <v>1512</v>
      </c>
      <c r="J1515" t="s">
        <v>21</v>
      </c>
      <c r="K1515">
        <v>6</v>
      </c>
      <c r="L1515" t="s">
        <v>59</v>
      </c>
      <c r="M1515">
        <v>950</v>
      </c>
    </row>
    <row r="1516" spans="1:13">
      <c r="A1516">
        <v>1510</v>
      </c>
      <c r="B1516">
        <v>102744</v>
      </c>
      <c r="C1516" t="s">
        <v>3512</v>
      </c>
      <c r="D1516" t="s">
        <v>700</v>
      </c>
      <c r="E1516" t="s">
        <v>3513</v>
      </c>
      <c r="F1516" t="str">
        <f>"00384807"</f>
        <v>00384807</v>
      </c>
      <c r="G1516" t="s">
        <v>107</v>
      </c>
      <c r="H1516" t="s">
        <v>20</v>
      </c>
      <c r="I1516">
        <v>1472</v>
      </c>
      <c r="J1516" t="s">
        <v>21</v>
      </c>
      <c r="K1516">
        <v>0</v>
      </c>
      <c r="M1516">
        <v>1581</v>
      </c>
    </row>
    <row r="1517" spans="1:13">
      <c r="A1517">
        <v>1511</v>
      </c>
      <c r="B1517">
        <v>82100</v>
      </c>
      <c r="C1517" t="s">
        <v>3514</v>
      </c>
      <c r="D1517" t="s">
        <v>76</v>
      </c>
      <c r="E1517" t="s">
        <v>3515</v>
      </c>
      <c r="F1517" t="str">
        <f>"00394302"</f>
        <v>00394302</v>
      </c>
      <c r="G1517" t="s">
        <v>600</v>
      </c>
      <c r="H1517" t="s">
        <v>366</v>
      </c>
      <c r="I1517">
        <v>1694</v>
      </c>
      <c r="J1517" t="s">
        <v>21</v>
      </c>
      <c r="K1517">
        <v>0</v>
      </c>
      <c r="M1517">
        <v>1378</v>
      </c>
    </row>
    <row r="1518" spans="1:13">
      <c r="A1518">
        <v>1512</v>
      </c>
      <c r="B1518">
        <v>111925</v>
      </c>
      <c r="C1518" t="s">
        <v>3516</v>
      </c>
      <c r="D1518" t="s">
        <v>121</v>
      </c>
      <c r="E1518" t="s">
        <v>3517</v>
      </c>
      <c r="F1518" t="str">
        <f>"00361876"</f>
        <v>00361876</v>
      </c>
      <c r="G1518" t="s">
        <v>47</v>
      </c>
      <c r="H1518" t="s">
        <v>48</v>
      </c>
      <c r="I1518">
        <v>1623</v>
      </c>
      <c r="J1518" t="s">
        <v>21</v>
      </c>
      <c r="K1518">
        <v>0</v>
      </c>
      <c r="L1518" t="s">
        <v>35</v>
      </c>
      <c r="M1518">
        <v>900</v>
      </c>
    </row>
    <row r="1519" spans="1:13">
      <c r="A1519">
        <v>1513</v>
      </c>
      <c r="B1519">
        <v>73418</v>
      </c>
      <c r="C1519" t="s">
        <v>3518</v>
      </c>
      <c r="D1519" t="s">
        <v>76</v>
      </c>
      <c r="E1519" t="s">
        <v>3519</v>
      </c>
      <c r="F1519" t="str">
        <f>"00387173"</f>
        <v>00387173</v>
      </c>
      <c r="G1519" t="s">
        <v>2518</v>
      </c>
      <c r="H1519" t="s">
        <v>1610</v>
      </c>
      <c r="I1519">
        <v>1304</v>
      </c>
      <c r="J1519" t="s">
        <v>21</v>
      </c>
      <c r="K1519">
        <v>0</v>
      </c>
      <c r="M1519">
        <v>1618</v>
      </c>
    </row>
    <row r="1520" spans="1:13">
      <c r="A1520">
        <v>1514</v>
      </c>
      <c r="B1520">
        <v>84152</v>
      </c>
      <c r="C1520" t="s">
        <v>3520</v>
      </c>
      <c r="D1520" t="s">
        <v>563</v>
      </c>
      <c r="E1520" t="s">
        <v>3521</v>
      </c>
      <c r="F1520" t="str">
        <f>"00262986"</f>
        <v>00262986</v>
      </c>
      <c r="G1520" t="s">
        <v>82</v>
      </c>
      <c r="H1520" t="s">
        <v>20</v>
      </c>
      <c r="I1520">
        <v>1475</v>
      </c>
      <c r="J1520" t="s">
        <v>21</v>
      </c>
      <c r="K1520">
        <v>0</v>
      </c>
      <c r="M1520">
        <v>1678</v>
      </c>
    </row>
    <row r="1521" spans="1:13">
      <c r="A1521">
        <v>1515</v>
      </c>
      <c r="B1521">
        <v>98677</v>
      </c>
      <c r="C1521" t="s">
        <v>3522</v>
      </c>
      <c r="D1521" t="s">
        <v>205</v>
      </c>
      <c r="E1521" t="s">
        <v>3523</v>
      </c>
      <c r="F1521" t="str">
        <f>"00382906"</f>
        <v>00382906</v>
      </c>
      <c r="G1521" t="s">
        <v>107</v>
      </c>
      <c r="H1521" t="s">
        <v>20</v>
      </c>
      <c r="I1521">
        <v>1472</v>
      </c>
      <c r="J1521" t="s">
        <v>21</v>
      </c>
      <c r="K1521">
        <v>0</v>
      </c>
      <c r="L1521" t="s">
        <v>35</v>
      </c>
      <c r="M1521">
        <v>920</v>
      </c>
    </row>
    <row r="1522" spans="1:13">
      <c r="A1522">
        <v>1516</v>
      </c>
      <c r="B1522">
        <v>73431</v>
      </c>
      <c r="C1522" t="s">
        <v>3524</v>
      </c>
      <c r="D1522" t="s">
        <v>94</v>
      </c>
      <c r="E1522" t="s">
        <v>3525</v>
      </c>
      <c r="F1522" t="str">
        <f>"201511037336"</f>
        <v>201511037336</v>
      </c>
      <c r="G1522" t="s">
        <v>3526</v>
      </c>
      <c r="H1522" t="s">
        <v>20</v>
      </c>
      <c r="I1522">
        <v>1404</v>
      </c>
      <c r="J1522" t="s">
        <v>21</v>
      </c>
      <c r="K1522">
        <v>7</v>
      </c>
      <c r="L1522" t="s">
        <v>35</v>
      </c>
      <c r="M1522">
        <v>1158</v>
      </c>
    </row>
    <row r="1523" spans="1:13">
      <c r="A1523">
        <v>1517</v>
      </c>
      <c r="B1523">
        <v>116137</v>
      </c>
      <c r="C1523" t="s">
        <v>3527</v>
      </c>
      <c r="D1523" t="s">
        <v>180</v>
      </c>
      <c r="E1523" t="s">
        <v>3528</v>
      </c>
      <c r="F1523" t="str">
        <f>"00422554"</f>
        <v>00422554</v>
      </c>
      <c r="G1523" t="s">
        <v>3529</v>
      </c>
      <c r="H1523" t="s">
        <v>535</v>
      </c>
      <c r="I1523">
        <v>1662</v>
      </c>
      <c r="J1523" t="s">
        <v>21</v>
      </c>
      <c r="K1523">
        <v>0</v>
      </c>
      <c r="L1523" t="s">
        <v>35</v>
      </c>
      <c r="M1523">
        <v>1750</v>
      </c>
    </row>
    <row r="1524" spans="1:13">
      <c r="A1524">
        <v>1518</v>
      </c>
      <c r="B1524">
        <v>59386</v>
      </c>
      <c r="C1524" t="s">
        <v>3530</v>
      </c>
      <c r="D1524" t="s">
        <v>121</v>
      </c>
      <c r="E1524" t="s">
        <v>3531</v>
      </c>
      <c r="F1524" t="str">
        <f>"00364408"</f>
        <v>00364408</v>
      </c>
      <c r="G1524" t="s">
        <v>862</v>
      </c>
      <c r="H1524" t="s">
        <v>48</v>
      </c>
      <c r="I1524">
        <v>1619</v>
      </c>
      <c r="J1524" t="s">
        <v>21</v>
      </c>
      <c r="K1524">
        <v>0</v>
      </c>
      <c r="L1524" t="s">
        <v>35</v>
      </c>
      <c r="M1524">
        <v>1436</v>
      </c>
    </row>
    <row r="1525" spans="1:13">
      <c r="A1525">
        <v>1519</v>
      </c>
      <c r="B1525">
        <v>90041</v>
      </c>
      <c r="C1525" t="s">
        <v>3532</v>
      </c>
      <c r="D1525" t="s">
        <v>243</v>
      </c>
      <c r="E1525" t="s">
        <v>3533</v>
      </c>
      <c r="F1525" t="str">
        <f>"00234009"</f>
        <v>00234009</v>
      </c>
      <c r="G1525" t="s">
        <v>606</v>
      </c>
      <c r="H1525" t="s">
        <v>607</v>
      </c>
      <c r="I1525">
        <v>1343</v>
      </c>
      <c r="J1525" t="s">
        <v>21</v>
      </c>
      <c r="K1525">
        <v>0</v>
      </c>
      <c r="M1525">
        <v>1739</v>
      </c>
    </row>
    <row r="1526" spans="1:13">
      <c r="A1526">
        <v>1520</v>
      </c>
      <c r="B1526">
        <v>73604</v>
      </c>
      <c r="C1526" t="s">
        <v>3534</v>
      </c>
      <c r="D1526" t="s">
        <v>180</v>
      </c>
      <c r="E1526" t="s">
        <v>3535</v>
      </c>
      <c r="F1526" t="str">
        <f>"00381746"</f>
        <v>00381746</v>
      </c>
      <c r="G1526" t="s">
        <v>481</v>
      </c>
      <c r="H1526" t="s">
        <v>20</v>
      </c>
      <c r="I1526">
        <v>1547</v>
      </c>
      <c r="J1526" t="s">
        <v>21</v>
      </c>
      <c r="K1526">
        <v>0</v>
      </c>
      <c r="L1526" t="s">
        <v>35</v>
      </c>
      <c r="M1526">
        <v>1175</v>
      </c>
    </row>
    <row r="1527" spans="1:13">
      <c r="A1527">
        <v>1521</v>
      </c>
      <c r="B1527">
        <v>63594</v>
      </c>
      <c r="C1527" t="s">
        <v>3536</v>
      </c>
      <c r="D1527" t="s">
        <v>209</v>
      </c>
      <c r="E1527" t="s">
        <v>3537</v>
      </c>
      <c r="F1527" t="str">
        <f>"00364551"</f>
        <v>00364551</v>
      </c>
      <c r="G1527" t="s">
        <v>520</v>
      </c>
      <c r="H1527" t="s">
        <v>20</v>
      </c>
      <c r="I1527">
        <v>1540</v>
      </c>
      <c r="J1527" t="s">
        <v>21</v>
      </c>
      <c r="K1527">
        <v>0</v>
      </c>
      <c r="M1527">
        <v>1563</v>
      </c>
    </row>
    <row r="1528" spans="1:13">
      <c r="A1528">
        <v>1522</v>
      </c>
      <c r="B1528">
        <v>69828</v>
      </c>
      <c r="C1528" t="s">
        <v>3538</v>
      </c>
      <c r="D1528" t="s">
        <v>566</v>
      </c>
      <c r="E1528" t="s">
        <v>3539</v>
      </c>
      <c r="F1528" t="str">
        <f>"00308681"</f>
        <v>00308681</v>
      </c>
      <c r="G1528" t="s">
        <v>2797</v>
      </c>
      <c r="H1528" t="s">
        <v>20</v>
      </c>
      <c r="I1528">
        <v>1487</v>
      </c>
      <c r="J1528" t="s">
        <v>21</v>
      </c>
      <c r="K1528">
        <v>6</v>
      </c>
      <c r="M1528">
        <v>1178</v>
      </c>
    </row>
    <row r="1529" spans="1:13">
      <c r="A1529">
        <v>1523</v>
      </c>
      <c r="B1529">
        <v>58735</v>
      </c>
      <c r="C1529" t="s">
        <v>3540</v>
      </c>
      <c r="D1529" t="s">
        <v>213</v>
      </c>
      <c r="E1529" t="s">
        <v>3541</v>
      </c>
      <c r="F1529" t="str">
        <f>"00302935"</f>
        <v>00302935</v>
      </c>
      <c r="G1529" t="s">
        <v>459</v>
      </c>
      <c r="H1529" t="s">
        <v>20</v>
      </c>
      <c r="I1529">
        <v>1485</v>
      </c>
      <c r="J1529" t="s">
        <v>21</v>
      </c>
      <c r="K1529">
        <v>6</v>
      </c>
      <c r="L1529" t="s">
        <v>35</v>
      </c>
      <c r="M1529">
        <v>1158</v>
      </c>
    </row>
    <row r="1530" spans="1:13">
      <c r="A1530">
        <v>1524</v>
      </c>
      <c r="B1530">
        <v>73626</v>
      </c>
      <c r="C1530" t="s">
        <v>3542</v>
      </c>
      <c r="D1530" t="s">
        <v>121</v>
      </c>
      <c r="E1530" t="s">
        <v>3543</v>
      </c>
      <c r="F1530" t="str">
        <f>"00395736"</f>
        <v>00395736</v>
      </c>
      <c r="G1530" t="s">
        <v>29</v>
      </c>
      <c r="H1530" t="s">
        <v>20</v>
      </c>
      <c r="I1530">
        <v>1446</v>
      </c>
      <c r="J1530" t="s">
        <v>21</v>
      </c>
      <c r="K1530">
        <v>0</v>
      </c>
      <c r="M1530">
        <v>1528</v>
      </c>
    </row>
    <row r="1531" spans="1:13">
      <c r="A1531">
        <v>1525</v>
      </c>
      <c r="B1531">
        <v>83819</v>
      </c>
      <c r="C1531" t="s">
        <v>3544</v>
      </c>
      <c r="D1531" t="s">
        <v>3545</v>
      </c>
      <c r="E1531" t="s">
        <v>3546</v>
      </c>
      <c r="F1531" t="str">
        <f>"00376131"</f>
        <v>00376131</v>
      </c>
      <c r="G1531" t="s">
        <v>107</v>
      </c>
      <c r="H1531" t="s">
        <v>20</v>
      </c>
      <c r="I1531">
        <v>1472</v>
      </c>
      <c r="J1531" t="s">
        <v>21</v>
      </c>
      <c r="K1531">
        <v>0</v>
      </c>
      <c r="M1531">
        <v>1378</v>
      </c>
    </row>
    <row r="1532" spans="1:13">
      <c r="A1532">
        <v>1526</v>
      </c>
      <c r="B1532">
        <v>104566</v>
      </c>
      <c r="C1532" t="s">
        <v>3547</v>
      </c>
      <c r="D1532" t="s">
        <v>249</v>
      </c>
      <c r="E1532" t="s">
        <v>3548</v>
      </c>
      <c r="F1532" t="str">
        <f>"00389930"</f>
        <v>00389930</v>
      </c>
      <c r="G1532" t="s">
        <v>994</v>
      </c>
      <c r="H1532" t="s">
        <v>20</v>
      </c>
      <c r="I1532">
        <v>1522</v>
      </c>
      <c r="J1532" t="s">
        <v>21</v>
      </c>
      <c r="K1532">
        <v>0</v>
      </c>
      <c r="L1532" t="s">
        <v>59</v>
      </c>
      <c r="M1532">
        <v>880</v>
      </c>
    </row>
    <row r="1533" spans="1:13">
      <c r="A1533">
        <v>1527</v>
      </c>
      <c r="B1533">
        <v>70627</v>
      </c>
      <c r="C1533" t="s">
        <v>3549</v>
      </c>
      <c r="D1533" t="s">
        <v>163</v>
      </c>
      <c r="E1533" t="s">
        <v>3550</v>
      </c>
      <c r="F1533" t="str">
        <f>"00388817"</f>
        <v>00388817</v>
      </c>
      <c r="G1533" t="s">
        <v>107</v>
      </c>
      <c r="H1533" t="s">
        <v>20</v>
      </c>
      <c r="I1533">
        <v>1472</v>
      </c>
      <c r="J1533" t="s">
        <v>21</v>
      </c>
      <c r="K1533">
        <v>0</v>
      </c>
      <c r="M1533">
        <v>1464</v>
      </c>
    </row>
    <row r="1534" spans="1:13">
      <c r="A1534">
        <v>1528</v>
      </c>
      <c r="B1534">
        <v>99266</v>
      </c>
      <c r="C1534" t="s">
        <v>3551</v>
      </c>
      <c r="D1534" t="s">
        <v>76</v>
      </c>
      <c r="E1534" t="s">
        <v>3552</v>
      </c>
      <c r="F1534" t="str">
        <f>"00386065"</f>
        <v>00386065</v>
      </c>
      <c r="G1534" t="s">
        <v>713</v>
      </c>
      <c r="H1534" t="s">
        <v>366</v>
      </c>
      <c r="I1534">
        <v>1690</v>
      </c>
      <c r="J1534" t="s">
        <v>21</v>
      </c>
      <c r="K1534">
        <v>0</v>
      </c>
      <c r="M1534">
        <v>1500</v>
      </c>
    </row>
    <row r="1535" spans="1:13">
      <c r="A1535">
        <v>1529</v>
      </c>
      <c r="B1535">
        <v>104300</v>
      </c>
      <c r="C1535" t="s">
        <v>3553</v>
      </c>
      <c r="D1535" t="s">
        <v>516</v>
      </c>
      <c r="E1535" t="s">
        <v>3554</v>
      </c>
      <c r="F1535" t="str">
        <f>"00207718"</f>
        <v>00207718</v>
      </c>
      <c r="G1535" t="s">
        <v>100</v>
      </c>
      <c r="H1535" t="s">
        <v>20</v>
      </c>
      <c r="I1535">
        <v>1468</v>
      </c>
      <c r="J1535" t="s">
        <v>21</v>
      </c>
      <c r="K1535">
        <v>0</v>
      </c>
      <c r="M1535">
        <v>1648</v>
      </c>
    </row>
    <row r="1536" spans="1:13">
      <c r="A1536">
        <v>1530</v>
      </c>
      <c r="B1536">
        <v>72886</v>
      </c>
      <c r="C1536" t="s">
        <v>3555</v>
      </c>
      <c r="D1536" t="s">
        <v>121</v>
      </c>
      <c r="E1536" t="s">
        <v>3556</v>
      </c>
      <c r="F1536" t="str">
        <f>"201511017403"</f>
        <v>201511017403</v>
      </c>
      <c r="G1536" t="s">
        <v>1226</v>
      </c>
      <c r="H1536" t="s">
        <v>137</v>
      </c>
      <c r="I1536">
        <v>1607</v>
      </c>
      <c r="J1536" t="s">
        <v>21</v>
      </c>
      <c r="K1536">
        <v>0</v>
      </c>
      <c r="L1536" t="s">
        <v>35</v>
      </c>
      <c r="M1536">
        <v>1108</v>
      </c>
    </row>
    <row r="1537" spans="1:13">
      <c r="A1537">
        <v>1531</v>
      </c>
      <c r="B1537">
        <v>107954</v>
      </c>
      <c r="C1537" t="s">
        <v>3557</v>
      </c>
      <c r="D1537" t="s">
        <v>121</v>
      </c>
      <c r="E1537" t="s">
        <v>3558</v>
      </c>
      <c r="F1537" t="str">
        <f>"201511004908"</f>
        <v>201511004908</v>
      </c>
      <c r="G1537" t="s">
        <v>47</v>
      </c>
      <c r="H1537" t="s">
        <v>48</v>
      </c>
      <c r="I1537">
        <v>1623</v>
      </c>
      <c r="J1537" t="s">
        <v>21</v>
      </c>
      <c r="K1537">
        <v>0</v>
      </c>
      <c r="L1537" t="s">
        <v>35</v>
      </c>
      <c r="M1537">
        <v>866</v>
      </c>
    </row>
    <row r="1538" spans="1:13">
      <c r="A1538">
        <v>1532</v>
      </c>
      <c r="B1538">
        <v>110977</v>
      </c>
      <c r="C1538" t="s">
        <v>3559</v>
      </c>
      <c r="D1538" t="s">
        <v>180</v>
      </c>
      <c r="E1538" t="s">
        <v>3560</v>
      </c>
      <c r="F1538" t="str">
        <f>"00417069"</f>
        <v>00417069</v>
      </c>
      <c r="G1538" t="s">
        <v>47</v>
      </c>
      <c r="H1538" t="s">
        <v>48</v>
      </c>
      <c r="I1538">
        <v>1623</v>
      </c>
      <c r="J1538" t="s">
        <v>21</v>
      </c>
      <c r="K1538">
        <v>0</v>
      </c>
      <c r="M1538">
        <v>1328</v>
      </c>
    </row>
    <row r="1539" spans="1:13">
      <c r="A1539">
        <v>1533</v>
      </c>
      <c r="B1539">
        <v>110970</v>
      </c>
      <c r="C1539" t="s">
        <v>3561</v>
      </c>
      <c r="D1539" t="s">
        <v>76</v>
      </c>
      <c r="E1539" t="s">
        <v>3562</v>
      </c>
      <c r="F1539" t="str">
        <f>"00411428"</f>
        <v>00411428</v>
      </c>
      <c r="G1539" t="s">
        <v>107</v>
      </c>
      <c r="H1539" t="s">
        <v>20</v>
      </c>
      <c r="I1539">
        <v>1472</v>
      </c>
      <c r="J1539" t="s">
        <v>21</v>
      </c>
      <c r="K1539">
        <v>0</v>
      </c>
      <c r="M1539">
        <v>1688</v>
      </c>
    </row>
    <row r="1540" spans="1:13">
      <c r="A1540">
        <v>1534</v>
      </c>
      <c r="B1540">
        <v>77749</v>
      </c>
      <c r="C1540" t="s">
        <v>3563</v>
      </c>
      <c r="D1540" t="s">
        <v>218</v>
      </c>
      <c r="E1540" t="s">
        <v>3564</v>
      </c>
      <c r="F1540" t="str">
        <f>"00292241"</f>
        <v>00292241</v>
      </c>
      <c r="G1540" t="s">
        <v>527</v>
      </c>
      <c r="H1540" t="s">
        <v>20</v>
      </c>
      <c r="I1540">
        <v>1568</v>
      </c>
      <c r="J1540" t="s">
        <v>21</v>
      </c>
      <c r="K1540">
        <v>0</v>
      </c>
      <c r="M1540">
        <v>1368</v>
      </c>
    </row>
    <row r="1541" spans="1:13">
      <c r="A1541">
        <v>1535</v>
      </c>
      <c r="B1541">
        <v>58033</v>
      </c>
      <c r="C1541" t="s">
        <v>3565</v>
      </c>
      <c r="D1541" t="s">
        <v>218</v>
      </c>
      <c r="E1541" t="s">
        <v>3566</v>
      </c>
      <c r="F1541" t="str">
        <f>"00364499"</f>
        <v>00364499</v>
      </c>
      <c r="G1541" t="s">
        <v>2518</v>
      </c>
      <c r="H1541" t="s">
        <v>1610</v>
      </c>
      <c r="I1541">
        <v>1304</v>
      </c>
      <c r="J1541" t="s">
        <v>21</v>
      </c>
      <c r="K1541">
        <v>0</v>
      </c>
      <c r="L1541" t="s">
        <v>35</v>
      </c>
      <c r="M1541">
        <v>1108</v>
      </c>
    </row>
    <row r="1542" spans="1:13">
      <c r="A1542">
        <v>1536</v>
      </c>
      <c r="B1542">
        <v>50895</v>
      </c>
      <c r="C1542" t="s">
        <v>3567</v>
      </c>
      <c r="D1542" t="s">
        <v>145</v>
      </c>
      <c r="E1542" t="s">
        <v>3568</v>
      </c>
      <c r="F1542" t="str">
        <f>"00370096"</f>
        <v>00370096</v>
      </c>
      <c r="G1542" t="s">
        <v>590</v>
      </c>
      <c r="H1542" t="s">
        <v>20</v>
      </c>
      <c r="I1542">
        <v>1451</v>
      </c>
      <c r="J1542" t="s">
        <v>21</v>
      </c>
      <c r="K1542">
        <v>0</v>
      </c>
      <c r="L1542" t="s">
        <v>35</v>
      </c>
      <c r="M1542">
        <v>985</v>
      </c>
    </row>
    <row r="1543" spans="1:13">
      <c r="A1543">
        <v>1537</v>
      </c>
      <c r="B1543">
        <v>51165</v>
      </c>
      <c r="C1543" t="s">
        <v>3569</v>
      </c>
      <c r="D1543" t="s">
        <v>85</v>
      </c>
      <c r="E1543" t="s">
        <v>3570</v>
      </c>
      <c r="F1543" t="str">
        <f>"201511009172"</f>
        <v>201511009172</v>
      </c>
      <c r="G1543" t="s">
        <v>107</v>
      </c>
      <c r="H1543" t="s">
        <v>20</v>
      </c>
      <c r="I1543">
        <v>1472</v>
      </c>
      <c r="J1543" t="s">
        <v>21</v>
      </c>
      <c r="K1543">
        <v>0</v>
      </c>
      <c r="M1543">
        <v>1528</v>
      </c>
    </row>
    <row r="1544" spans="1:13">
      <c r="A1544">
        <v>1538</v>
      </c>
      <c r="B1544">
        <v>76278</v>
      </c>
      <c r="C1544" t="s">
        <v>3571</v>
      </c>
      <c r="D1544" t="s">
        <v>85</v>
      </c>
      <c r="E1544" t="s">
        <v>3572</v>
      </c>
      <c r="F1544" t="str">
        <f>"00386778"</f>
        <v>00386778</v>
      </c>
      <c r="G1544" t="s">
        <v>78</v>
      </c>
      <c r="H1544" t="s">
        <v>20</v>
      </c>
      <c r="I1544">
        <v>1460</v>
      </c>
      <c r="J1544" t="s">
        <v>21</v>
      </c>
      <c r="K1544">
        <v>0</v>
      </c>
      <c r="M1544">
        <v>1728</v>
      </c>
    </row>
    <row r="1545" spans="1:13">
      <c r="A1545">
        <v>1539</v>
      </c>
      <c r="B1545">
        <v>90603</v>
      </c>
      <c r="C1545" t="s">
        <v>3573</v>
      </c>
      <c r="D1545" t="s">
        <v>121</v>
      </c>
      <c r="E1545" t="s">
        <v>3574</v>
      </c>
      <c r="F1545" t="str">
        <f>"201411003053"</f>
        <v>201411003053</v>
      </c>
      <c r="G1545" t="s">
        <v>540</v>
      </c>
      <c r="H1545" t="s">
        <v>20</v>
      </c>
      <c r="I1545">
        <v>1435</v>
      </c>
      <c r="J1545" t="s">
        <v>21</v>
      </c>
      <c r="K1545">
        <v>0</v>
      </c>
      <c r="M1545">
        <v>1460</v>
      </c>
    </row>
    <row r="1546" spans="1:13">
      <c r="A1546">
        <v>1540</v>
      </c>
      <c r="B1546">
        <v>64131</v>
      </c>
      <c r="C1546" t="s">
        <v>3575</v>
      </c>
      <c r="D1546" t="s">
        <v>180</v>
      </c>
      <c r="E1546" t="s">
        <v>3576</v>
      </c>
      <c r="F1546" t="str">
        <f>"201511021559"</f>
        <v>201511021559</v>
      </c>
      <c r="G1546" t="s">
        <v>196</v>
      </c>
      <c r="H1546" t="s">
        <v>20</v>
      </c>
      <c r="I1546">
        <v>1512</v>
      </c>
      <c r="J1546" t="s">
        <v>21</v>
      </c>
      <c r="K1546">
        <v>6</v>
      </c>
      <c r="L1546" t="s">
        <v>83</v>
      </c>
      <c r="M1546">
        <v>1358</v>
      </c>
    </row>
    <row r="1547" spans="1:13">
      <c r="A1547">
        <v>1541</v>
      </c>
      <c r="B1547">
        <v>110376</v>
      </c>
      <c r="C1547" t="s">
        <v>3577</v>
      </c>
      <c r="D1547" t="s">
        <v>145</v>
      </c>
      <c r="E1547" t="s">
        <v>3578</v>
      </c>
      <c r="F1547" t="str">
        <f>"00201573"</f>
        <v>00201573</v>
      </c>
      <c r="G1547" t="s">
        <v>47</v>
      </c>
      <c r="H1547" t="s">
        <v>48</v>
      </c>
      <c r="I1547">
        <v>1623</v>
      </c>
      <c r="J1547" t="s">
        <v>21</v>
      </c>
      <c r="K1547">
        <v>0</v>
      </c>
      <c r="M1547">
        <v>1328</v>
      </c>
    </row>
    <row r="1548" spans="1:13">
      <c r="A1548">
        <v>1542</v>
      </c>
      <c r="B1548">
        <v>63702</v>
      </c>
      <c r="C1548" t="s">
        <v>3579</v>
      </c>
      <c r="D1548" t="s">
        <v>209</v>
      </c>
      <c r="E1548" t="s">
        <v>3580</v>
      </c>
      <c r="F1548" t="str">
        <f>"00359597"</f>
        <v>00359597</v>
      </c>
      <c r="G1548" t="s">
        <v>1747</v>
      </c>
      <c r="H1548" t="s">
        <v>20</v>
      </c>
      <c r="I1548">
        <v>1489</v>
      </c>
      <c r="J1548" t="s">
        <v>21</v>
      </c>
      <c r="K1548">
        <v>6</v>
      </c>
      <c r="M1548">
        <v>1028</v>
      </c>
    </row>
    <row r="1549" spans="1:13">
      <c r="A1549">
        <v>1543</v>
      </c>
      <c r="B1549">
        <v>95407</v>
      </c>
      <c r="C1549" t="s">
        <v>3581</v>
      </c>
      <c r="D1549" t="s">
        <v>105</v>
      </c>
      <c r="E1549" t="s">
        <v>3582</v>
      </c>
      <c r="F1549" t="str">
        <f>"00400420"</f>
        <v>00400420</v>
      </c>
      <c r="G1549" t="s">
        <v>47</v>
      </c>
      <c r="H1549" t="s">
        <v>48</v>
      </c>
      <c r="I1549">
        <v>1623</v>
      </c>
      <c r="J1549" t="s">
        <v>21</v>
      </c>
      <c r="K1549">
        <v>0</v>
      </c>
      <c r="M1549">
        <v>1438</v>
      </c>
    </row>
    <row r="1550" spans="1:13">
      <c r="A1550">
        <v>1544</v>
      </c>
      <c r="B1550">
        <v>85138</v>
      </c>
      <c r="C1550" t="s">
        <v>3583</v>
      </c>
      <c r="D1550" t="s">
        <v>80</v>
      </c>
      <c r="E1550" t="s">
        <v>3584</v>
      </c>
      <c r="F1550" t="str">
        <f>"00390957"</f>
        <v>00390957</v>
      </c>
      <c r="G1550" t="s">
        <v>107</v>
      </c>
      <c r="H1550" t="s">
        <v>20</v>
      </c>
      <c r="I1550">
        <v>1472</v>
      </c>
      <c r="J1550" t="s">
        <v>21</v>
      </c>
      <c r="K1550">
        <v>0</v>
      </c>
      <c r="L1550" t="s">
        <v>35</v>
      </c>
      <c r="M1550">
        <v>1000</v>
      </c>
    </row>
    <row r="1551" spans="1:13">
      <c r="A1551">
        <v>1545</v>
      </c>
      <c r="B1551">
        <v>105100</v>
      </c>
      <c r="C1551" t="s">
        <v>3585</v>
      </c>
      <c r="D1551" t="s">
        <v>3268</v>
      </c>
      <c r="E1551" t="s">
        <v>3586</v>
      </c>
      <c r="F1551" t="str">
        <f>"00377933"</f>
        <v>00377933</v>
      </c>
      <c r="G1551" t="s">
        <v>155</v>
      </c>
      <c r="H1551" t="s">
        <v>156</v>
      </c>
      <c r="I1551">
        <v>1342</v>
      </c>
      <c r="J1551" t="s">
        <v>21</v>
      </c>
      <c r="K1551">
        <v>0</v>
      </c>
      <c r="M1551">
        <v>1538</v>
      </c>
    </row>
    <row r="1552" spans="1:13">
      <c r="A1552">
        <v>1546</v>
      </c>
      <c r="B1552">
        <v>52882</v>
      </c>
      <c r="C1552" t="s">
        <v>3587</v>
      </c>
      <c r="D1552" t="s">
        <v>130</v>
      </c>
      <c r="E1552" t="s">
        <v>3588</v>
      </c>
      <c r="F1552" t="str">
        <f>"00264077"</f>
        <v>00264077</v>
      </c>
      <c r="G1552" t="s">
        <v>1753</v>
      </c>
      <c r="H1552" t="s">
        <v>20</v>
      </c>
      <c r="I1552">
        <v>1544</v>
      </c>
      <c r="J1552" t="s">
        <v>21</v>
      </c>
      <c r="K1552">
        <v>0</v>
      </c>
      <c r="L1552" t="s">
        <v>59</v>
      </c>
      <c r="M1552">
        <v>1228</v>
      </c>
    </row>
    <row r="1553" spans="1:13">
      <c r="A1553">
        <v>1547</v>
      </c>
      <c r="B1553">
        <v>58299</v>
      </c>
      <c r="C1553" t="s">
        <v>3589</v>
      </c>
      <c r="D1553" t="s">
        <v>205</v>
      </c>
      <c r="E1553" t="s">
        <v>3590</v>
      </c>
      <c r="F1553" t="str">
        <f>"00371310"</f>
        <v>00371310</v>
      </c>
      <c r="G1553" t="s">
        <v>531</v>
      </c>
      <c r="H1553" t="s">
        <v>20</v>
      </c>
      <c r="I1553">
        <v>1445</v>
      </c>
      <c r="J1553" t="s">
        <v>21</v>
      </c>
      <c r="K1553">
        <v>0</v>
      </c>
      <c r="M1553">
        <v>2118</v>
      </c>
    </row>
    <row r="1554" spans="1:13">
      <c r="A1554">
        <v>1548</v>
      </c>
      <c r="B1554">
        <v>53844</v>
      </c>
      <c r="C1554" t="s">
        <v>3591</v>
      </c>
      <c r="D1554" t="s">
        <v>102</v>
      </c>
      <c r="E1554" t="s">
        <v>3592</v>
      </c>
      <c r="F1554" t="str">
        <f>"00255454"</f>
        <v>00255454</v>
      </c>
      <c r="G1554" t="s">
        <v>437</v>
      </c>
      <c r="H1554" t="s">
        <v>20</v>
      </c>
      <c r="I1554">
        <v>1407</v>
      </c>
      <c r="J1554" t="s">
        <v>21</v>
      </c>
      <c r="K1554">
        <v>0</v>
      </c>
      <c r="L1554" t="s">
        <v>35</v>
      </c>
      <c r="M1554">
        <v>1083</v>
      </c>
    </row>
    <row r="1555" spans="1:13">
      <c r="A1555">
        <v>1549</v>
      </c>
      <c r="B1555">
        <v>53073</v>
      </c>
      <c r="C1555" t="s">
        <v>3593</v>
      </c>
      <c r="D1555" t="s">
        <v>102</v>
      </c>
      <c r="E1555" t="s">
        <v>3594</v>
      </c>
      <c r="F1555" t="str">
        <f>"00361068"</f>
        <v>00361068</v>
      </c>
      <c r="G1555" t="s">
        <v>488</v>
      </c>
      <c r="H1555" t="s">
        <v>20</v>
      </c>
      <c r="I1555">
        <v>1482</v>
      </c>
      <c r="J1555" t="s">
        <v>21</v>
      </c>
      <c r="K1555">
        <v>0</v>
      </c>
      <c r="M1555">
        <v>1378</v>
      </c>
    </row>
    <row r="1556" spans="1:13">
      <c r="A1556">
        <v>1550</v>
      </c>
      <c r="B1556">
        <v>95450</v>
      </c>
      <c r="C1556" t="s">
        <v>3595</v>
      </c>
      <c r="D1556" t="s">
        <v>145</v>
      </c>
      <c r="E1556" t="s">
        <v>3596</v>
      </c>
      <c r="F1556" t="str">
        <f>"201511017389"</f>
        <v>201511017389</v>
      </c>
      <c r="G1556" t="s">
        <v>540</v>
      </c>
      <c r="H1556" t="s">
        <v>20</v>
      </c>
      <c r="I1556">
        <v>1435</v>
      </c>
      <c r="J1556" t="s">
        <v>21</v>
      </c>
      <c r="K1556">
        <v>0</v>
      </c>
      <c r="L1556" t="s">
        <v>59</v>
      </c>
      <c r="M1556">
        <v>888</v>
      </c>
    </row>
    <row r="1557" spans="1:13">
      <c r="A1557">
        <v>1551</v>
      </c>
      <c r="B1557">
        <v>87072</v>
      </c>
      <c r="C1557" t="s">
        <v>3597</v>
      </c>
      <c r="D1557" t="s">
        <v>76</v>
      </c>
      <c r="E1557" t="s">
        <v>3598</v>
      </c>
      <c r="F1557" t="str">
        <f>"201511021528"</f>
        <v>201511021528</v>
      </c>
      <c r="G1557" t="s">
        <v>600</v>
      </c>
      <c r="H1557" t="s">
        <v>234</v>
      </c>
      <c r="I1557">
        <v>1337</v>
      </c>
      <c r="J1557" t="s">
        <v>21</v>
      </c>
      <c r="K1557">
        <v>0</v>
      </c>
      <c r="L1557" t="s">
        <v>35</v>
      </c>
      <c r="M1557">
        <v>1258</v>
      </c>
    </row>
    <row r="1558" spans="1:13">
      <c r="A1558">
        <v>1552</v>
      </c>
      <c r="B1558">
        <v>83654</v>
      </c>
      <c r="C1558" t="s">
        <v>3599</v>
      </c>
      <c r="D1558" t="s">
        <v>76</v>
      </c>
      <c r="E1558" t="s">
        <v>3600</v>
      </c>
      <c r="F1558" t="str">
        <f>"00187001"</f>
        <v>00187001</v>
      </c>
      <c r="G1558" t="s">
        <v>70</v>
      </c>
      <c r="H1558" t="s">
        <v>71</v>
      </c>
      <c r="I1558">
        <v>1702</v>
      </c>
      <c r="J1558" t="s">
        <v>21</v>
      </c>
      <c r="K1558">
        <v>0</v>
      </c>
      <c r="L1558" t="s">
        <v>112</v>
      </c>
      <c r="M1558">
        <v>800</v>
      </c>
    </row>
    <row r="1559" spans="1:13">
      <c r="A1559">
        <v>1553</v>
      </c>
      <c r="B1559">
        <v>53900</v>
      </c>
      <c r="C1559" t="s">
        <v>3601</v>
      </c>
      <c r="D1559" t="s">
        <v>213</v>
      </c>
      <c r="E1559" t="s">
        <v>3602</v>
      </c>
      <c r="F1559" t="str">
        <f>"00041418"</f>
        <v>00041418</v>
      </c>
      <c r="G1559" t="s">
        <v>2710</v>
      </c>
      <c r="H1559" t="s">
        <v>366</v>
      </c>
      <c r="I1559">
        <v>1691</v>
      </c>
      <c r="J1559" t="s">
        <v>21</v>
      </c>
      <c r="K1559">
        <v>0</v>
      </c>
      <c r="L1559" t="s">
        <v>35</v>
      </c>
      <c r="M1559">
        <v>950</v>
      </c>
    </row>
    <row r="1560" spans="1:13">
      <c r="A1560">
        <v>1554</v>
      </c>
      <c r="B1560">
        <v>53685</v>
      </c>
      <c r="C1560" t="s">
        <v>3603</v>
      </c>
      <c r="D1560" t="s">
        <v>288</v>
      </c>
      <c r="E1560" t="s">
        <v>3604</v>
      </c>
      <c r="F1560" t="str">
        <f>"201601000057"</f>
        <v>201601000057</v>
      </c>
      <c r="G1560" t="s">
        <v>3526</v>
      </c>
      <c r="H1560" t="s">
        <v>20</v>
      </c>
      <c r="I1560">
        <v>1404</v>
      </c>
      <c r="J1560" t="s">
        <v>21</v>
      </c>
      <c r="K1560">
        <v>7</v>
      </c>
      <c r="M1560">
        <v>1588</v>
      </c>
    </row>
    <row r="1561" spans="1:13">
      <c r="A1561">
        <v>1555</v>
      </c>
      <c r="B1561">
        <v>87093</v>
      </c>
      <c r="C1561" t="s">
        <v>3605</v>
      </c>
      <c r="D1561" t="s">
        <v>1249</v>
      </c>
      <c r="E1561" t="s">
        <v>3606</v>
      </c>
      <c r="F1561" t="str">
        <f>"00053692"</f>
        <v>00053692</v>
      </c>
      <c r="G1561" t="s">
        <v>600</v>
      </c>
      <c r="H1561" t="s">
        <v>366</v>
      </c>
      <c r="I1561">
        <v>1694</v>
      </c>
      <c r="J1561" t="s">
        <v>21</v>
      </c>
      <c r="K1561">
        <v>0</v>
      </c>
      <c r="L1561" t="s">
        <v>35</v>
      </c>
      <c r="M1561">
        <v>989</v>
      </c>
    </row>
    <row r="1562" spans="1:13">
      <c r="A1562">
        <v>1556</v>
      </c>
      <c r="B1562">
        <v>64726</v>
      </c>
      <c r="C1562" t="s">
        <v>3607</v>
      </c>
      <c r="D1562" t="s">
        <v>243</v>
      </c>
      <c r="E1562" t="s">
        <v>3608</v>
      </c>
      <c r="F1562" t="str">
        <f>"00051659"</f>
        <v>00051659</v>
      </c>
      <c r="G1562" t="s">
        <v>107</v>
      </c>
      <c r="H1562" t="s">
        <v>20</v>
      </c>
      <c r="I1562">
        <v>1472</v>
      </c>
      <c r="J1562" t="s">
        <v>21</v>
      </c>
      <c r="K1562">
        <v>0</v>
      </c>
      <c r="M1562">
        <v>1368</v>
      </c>
    </row>
    <row r="1563" spans="1:13">
      <c r="A1563">
        <v>1557</v>
      </c>
      <c r="B1563">
        <v>50727</v>
      </c>
      <c r="C1563" t="s">
        <v>3609</v>
      </c>
      <c r="D1563" t="s">
        <v>76</v>
      </c>
      <c r="E1563" t="s">
        <v>3610</v>
      </c>
      <c r="F1563" t="str">
        <f>"00365445"</f>
        <v>00365445</v>
      </c>
      <c r="G1563" t="s">
        <v>1107</v>
      </c>
      <c r="H1563" t="s">
        <v>48</v>
      </c>
      <c r="I1563">
        <v>1626</v>
      </c>
      <c r="J1563" t="s">
        <v>21</v>
      </c>
      <c r="K1563">
        <v>0</v>
      </c>
      <c r="L1563" t="s">
        <v>35</v>
      </c>
      <c r="M1563">
        <v>1004</v>
      </c>
    </row>
    <row r="1564" spans="1:13">
      <c r="A1564">
        <v>1558</v>
      </c>
      <c r="B1564">
        <v>59164</v>
      </c>
      <c r="C1564" t="s">
        <v>3611</v>
      </c>
      <c r="D1564" t="s">
        <v>105</v>
      </c>
      <c r="E1564" t="s">
        <v>3612</v>
      </c>
      <c r="F1564" t="str">
        <f>"00321258"</f>
        <v>00321258</v>
      </c>
      <c r="G1564" t="s">
        <v>107</v>
      </c>
      <c r="H1564" t="s">
        <v>20</v>
      </c>
      <c r="I1564">
        <v>1472</v>
      </c>
      <c r="J1564" t="s">
        <v>21</v>
      </c>
      <c r="K1564">
        <v>0</v>
      </c>
      <c r="L1564" t="s">
        <v>59</v>
      </c>
      <c r="M1564">
        <v>988</v>
      </c>
    </row>
    <row r="1565" spans="1:13">
      <c r="A1565">
        <v>1559</v>
      </c>
      <c r="B1565">
        <v>59003</v>
      </c>
      <c r="C1565" t="s">
        <v>3613</v>
      </c>
      <c r="D1565" t="s">
        <v>180</v>
      </c>
      <c r="E1565" t="s">
        <v>3614</v>
      </c>
      <c r="F1565" t="str">
        <f>"00316758"</f>
        <v>00316758</v>
      </c>
      <c r="G1565" t="s">
        <v>24</v>
      </c>
      <c r="H1565" t="s">
        <v>20</v>
      </c>
      <c r="I1565">
        <v>1577</v>
      </c>
      <c r="J1565" t="s">
        <v>21</v>
      </c>
      <c r="K1565">
        <v>0</v>
      </c>
      <c r="L1565" t="s">
        <v>35</v>
      </c>
      <c r="M1565">
        <v>900</v>
      </c>
    </row>
    <row r="1566" spans="1:13">
      <c r="A1566">
        <v>1560</v>
      </c>
      <c r="B1566">
        <v>70262</v>
      </c>
      <c r="C1566" t="s">
        <v>3615</v>
      </c>
      <c r="D1566" t="s">
        <v>80</v>
      </c>
      <c r="E1566" t="s">
        <v>3616</v>
      </c>
      <c r="F1566" t="str">
        <f>"201511021778"</f>
        <v>201511021778</v>
      </c>
      <c r="G1566" t="s">
        <v>200</v>
      </c>
      <c r="H1566" t="s">
        <v>20</v>
      </c>
      <c r="I1566">
        <v>1492</v>
      </c>
      <c r="J1566" t="s">
        <v>21</v>
      </c>
      <c r="K1566">
        <v>0</v>
      </c>
      <c r="L1566" t="s">
        <v>59</v>
      </c>
      <c r="M1566">
        <v>888</v>
      </c>
    </row>
    <row r="1567" spans="1:13">
      <c r="A1567">
        <v>1561</v>
      </c>
      <c r="B1567">
        <v>64660</v>
      </c>
      <c r="C1567" t="s">
        <v>3617</v>
      </c>
      <c r="D1567" t="s">
        <v>80</v>
      </c>
      <c r="E1567" t="s">
        <v>3618</v>
      </c>
      <c r="F1567" t="str">
        <f>"00223734"</f>
        <v>00223734</v>
      </c>
      <c r="G1567" t="s">
        <v>47</v>
      </c>
      <c r="H1567" t="s">
        <v>48</v>
      </c>
      <c r="I1567">
        <v>1623</v>
      </c>
      <c r="J1567" t="s">
        <v>21</v>
      </c>
      <c r="K1567">
        <v>0</v>
      </c>
      <c r="L1567" t="s">
        <v>35</v>
      </c>
      <c r="M1567">
        <v>900</v>
      </c>
    </row>
    <row r="1568" spans="1:13">
      <c r="A1568">
        <v>1562</v>
      </c>
      <c r="B1568">
        <v>70045</v>
      </c>
      <c r="C1568" t="s">
        <v>3619</v>
      </c>
      <c r="D1568" t="s">
        <v>209</v>
      </c>
      <c r="E1568" t="s">
        <v>3620</v>
      </c>
      <c r="F1568" t="str">
        <f>"00382430"</f>
        <v>00382430</v>
      </c>
      <c r="G1568" t="s">
        <v>325</v>
      </c>
      <c r="H1568" t="s">
        <v>326</v>
      </c>
      <c r="I1568">
        <v>1592</v>
      </c>
      <c r="J1568" t="s">
        <v>21</v>
      </c>
      <c r="K1568">
        <v>0</v>
      </c>
      <c r="M1568">
        <v>1525</v>
      </c>
    </row>
    <row r="1569" spans="1:13">
      <c r="A1569">
        <v>1563</v>
      </c>
      <c r="B1569">
        <v>105720</v>
      </c>
      <c r="C1569" t="s">
        <v>3621</v>
      </c>
      <c r="D1569" t="s">
        <v>102</v>
      </c>
      <c r="E1569" t="s">
        <v>3622</v>
      </c>
      <c r="F1569" t="str">
        <f>"00021220"</f>
        <v>00021220</v>
      </c>
      <c r="G1569" t="s">
        <v>2518</v>
      </c>
      <c r="H1569" t="s">
        <v>1610</v>
      </c>
      <c r="I1569">
        <v>1304</v>
      </c>
      <c r="J1569" t="s">
        <v>21</v>
      </c>
      <c r="K1569">
        <v>0</v>
      </c>
      <c r="L1569" t="s">
        <v>59</v>
      </c>
      <c r="M1569">
        <v>1288</v>
      </c>
    </row>
    <row r="1570" spans="1:13">
      <c r="A1570">
        <v>1564</v>
      </c>
      <c r="B1570">
        <v>115237</v>
      </c>
      <c r="C1570" t="s">
        <v>3623</v>
      </c>
      <c r="D1570" t="s">
        <v>163</v>
      </c>
      <c r="E1570" t="s">
        <v>3624</v>
      </c>
      <c r="F1570" t="str">
        <f>"00383633"</f>
        <v>00383633</v>
      </c>
      <c r="G1570" t="s">
        <v>38</v>
      </c>
      <c r="H1570" t="s">
        <v>39</v>
      </c>
      <c r="I1570">
        <v>1634</v>
      </c>
      <c r="J1570" t="s">
        <v>21</v>
      </c>
      <c r="K1570">
        <v>6</v>
      </c>
      <c r="L1570" t="s">
        <v>35</v>
      </c>
      <c r="M1570">
        <v>708</v>
      </c>
    </row>
    <row r="1571" spans="1:13">
      <c r="A1571">
        <v>1565</v>
      </c>
      <c r="B1571">
        <v>62646</v>
      </c>
      <c r="C1571" t="s">
        <v>3625</v>
      </c>
      <c r="D1571" t="s">
        <v>3626</v>
      </c>
      <c r="E1571" t="s">
        <v>3627</v>
      </c>
      <c r="F1571" t="str">
        <f>"00310732"</f>
        <v>00310732</v>
      </c>
      <c r="G1571" t="s">
        <v>883</v>
      </c>
      <c r="H1571" t="s">
        <v>270</v>
      </c>
      <c r="I1571">
        <v>1585</v>
      </c>
      <c r="J1571" t="s">
        <v>21</v>
      </c>
      <c r="K1571">
        <v>0</v>
      </c>
      <c r="M1571">
        <v>1488</v>
      </c>
    </row>
    <row r="1572" spans="1:13">
      <c r="A1572">
        <v>1566</v>
      </c>
      <c r="B1572">
        <v>99139</v>
      </c>
      <c r="C1572" t="s">
        <v>3628</v>
      </c>
      <c r="D1572" t="s">
        <v>76</v>
      </c>
      <c r="E1572" t="s">
        <v>3629</v>
      </c>
      <c r="F1572" t="str">
        <f>"00252180"</f>
        <v>00252180</v>
      </c>
      <c r="G1572" t="s">
        <v>1595</v>
      </c>
      <c r="H1572" t="s">
        <v>20</v>
      </c>
      <c r="I1572">
        <v>1538</v>
      </c>
      <c r="J1572" t="s">
        <v>21</v>
      </c>
      <c r="K1572">
        <v>6</v>
      </c>
      <c r="L1572" t="s">
        <v>35</v>
      </c>
      <c r="M1572">
        <v>630</v>
      </c>
    </row>
    <row r="1573" spans="1:13">
      <c r="A1573">
        <v>1567</v>
      </c>
      <c r="B1573">
        <v>56323</v>
      </c>
      <c r="C1573" t="s">
        <v>3630</v>
      </c>
      <c r="D1573" t="s">
        <v>213</v>
      </c>
      <c r="E1573" t="s">
        <v>3631</v>
      </c>
      <c r="F1573" t="str">
        <f>"00234272"</f>
        <v>00234272</v>
      </c>
      <c r="G1573" t="s">
        <v>1498</v>
      </c>
      <c r="H1573" t="s">
        <v>1499</v>
      </c>
      <c r="I1573">
        <v>1598</v>
      </c>
      <c r="J1573" t="s">
        <v>21</v>
      </c>
      <c r="K1573">
        <v>6</v>
      </c>
      <c r="L1573" t="s">
        <v>35</v>
      </c>
      <c r="M1573">
        <v>865</v>
      </c>
    </row>
    <row r="1574" spans="1:13">
      <c r="A1574">
        <v>1568</v>
      </c>
      <c r="B1574">
        <v>85154</v>
      </c>
      <c r="C1574" t="s">
        <v>3632</v>
      </c>
      <c r="D1574" t="s">
        <v>700</v>
      </c>
      <c r="E1574" t="s">
        <v>3633</v>
      </c>
      <c r="F1574" t="str">
        <f>"201511015871"</f>
        <v>201511015871</v>
      </c>
      <c r="G1574" t="s">
        <v>47</v>
      </c>
      <c r="H1574" t="s">
        <v>48</v>
      </c>
      <c r="I1574">
        <v>1623</v>
      </c>
      <c r="J1574" t="s">
        <v>21</v>
      </c>
      <c r="K1574">
        <v>0</v>
      </c>
      <c r="L1574" t="s">
        <v>83</v>
      </c>
      <c r="M1574">
        <v>1288</v>
      </c>
    </row>
    <row r="1575" spans="1:13">
      <c r="A1575">
        <v>1569</v>
      </c>
      <c r="B1575">
        <v>93607</v>
      </c>
      <c r="C1575" t="s">
        <v>3634</v>
      </c>
      <c r="D1575" t="s">
        <v>213</v>
      </c>
      <c r="E1575" t="s">
        <v>3635</v>
      </c>
      <c r="F1575" t="str">
        <f>"00360902"</f>
        <v>00360902</v>
      </c>
      <c r="G1575" t="s">
        <v>2817</v>
      </c>
      <c r="H1575" t="s">
        <v>20</v>
      </c>
      <c r="I1575">
        <v>1493</v>
      </c>
      <c r="J1575" t="s">
        <v>21</v>
      </c>
      <c r="K1575">
        <v>0</v>
      </c>
      <c r="L1575" t="s">
        <v>35</v>
      </c>
      <c r="M1575">
        <v>937</v>
      </c>
    </row>
    <row r="1576" spans="1:13">
      <c r="A1576">
        <v>1570</v>
      </c>
      <c r="B1576">
        <v>88476</v>
      </c>
      <c r="C1576" t="s">
        <v>3636</v>
      </c>
      <c r="D1576" t="s">
        <v>218</v>
      </c>
      <c r="E1576" t="s">
        <v>3637</v>
      </c>
      <c r="F1576" t="str">
        <f>"00400820"</f>
        <v>00400820</v>
      </c>
      <c r="G1576" t="s">
        <v>284</v>
      </c>
      <c r="H1576" t="s">
        <v>270</v>
      </c>
      <c r="I1576">
        <v>1586</v>
      </c>
      <c r="J1576" t="s">
        <v>21</v>
      </c>
      <c r="K1576">
        <v>0</v>
      </c>
      <c r="L1576" t="s">
        <v>35</v>
      </c>
      <c r="M1576">
        <v>908</v>
      </c>
    </row>
    <row r="1577" spans="1:13">
      <c r="A1577">
        <v>1571</v>
      </c>
      <c r="B1577">
        <v>115793</v>
      </c>
      <c r="C1577" t="s">
        <v>3638</v>
      </c>
      <c r="D1577" t="s">
        <v>105</v>
      </c>
      <c r="E1577" t="s">
        <v>3639</v>
      </c>
      <c r="F1577" t="str">
        <f>"00406909"</f>
        <v>00406909</v>
      </c>
      <c r="G1577" t="s">
        <v>511</v>
      </c>
      <c r="H1577" t="s">
        <v>3640</v>
      </c>
      <c r="I1577">
        <v>1713</v>
      </c>
      <c r="J1577" t="s">
        <v>21</v>
      </c>
      <c r="K1577">
        <v>6</v>
      </c>
      <c r="L1577" t="s">
        <v>59</v>
      </c>
      <c r="M1577">
        <v>1018</v>
      </c>
    </row>
    <row r="1578" spans="1:13">
      <c r="A1578">
        <v>1572</v>
      </c>
      <c r="B1578">
        <v>68956</v>
      </c>
      <c r="C1578" t="s">
        <v>3641</v>
      </c>
      <c r="D1578" t="s">
        <v>180</v>
      </c>
      <c r="E1578" t="s">
        <v>3642</v>
      </c>
      <c r="F1578" t="str">
        <f>"00273550"</f>
        <v>00273550</v>
      </c>
      <c r="G1578" t="s">
        <v>273</v>
      </c>
      <c r="H1578" t="s">
        <v>274</v>
      </c>
      <c r="I1578">
        <v>1395</v>
      </c>
      <c r="J1578" t="s">
        <v>21</v>
      </c>
      <c r="K1578">
        <v>0</v>
      </c>
      <c r="L1578" t="s">
        <v>35</v>
      </c>
      <c r="M1578">
        <v>1008</v>
      </c>
    </row>
    <row r="1579" spans="1:13">
      <c r="A1579">
        <v>1573</v>
      </c>
      <c r="B1579">
        <v>88569</v>
      </c>
      <c r="C1579" t="s">
        <v>3643</v>
      </c>
      <c r="D1579" t="s">
        <v>80</v>
      </c>
      <c r="E1579" t="s">
        <v>3644</v>
      </c>
      <c r="F1579" t="str">
        <f>"00409644"</f>
        <v>00409644</v>
      </c>
      <c r="G1579" t="s">
        <v>24</v>
      </c>
      <c r="H1579" t="s">
        <v>20</v>
      </c>
      <c r="I1579">
        <v>1577</v>
      </c>
      <c r="J1579" t="s">
        <v>21</v>
      </c>
      <c r="K1579">
        <v>0</v>
      </c>
      <c r="M1579">
        <v>1328</v>
      </c>
    </row>
    <row r="1580" spans="1:13">
      <c r="A1580">
        <v>1574</v>
      </c>
      <c r="B1580">
        <v>106300</v>
      </c>
      <c r="C1580" t="s">
        <v>3645</v>
      </c>
      <c r="D1580" t="s">
        <v>105</v>
      </c>
      <c r="E1580" t="s">
        <v>3646</v>
      </c>
      <c r="F1580" t="str">
        <f>"00250168"</f>
        <v>00250168</v>
      </c>
      <c r="G1580" t="s">
        <v>136</v>
      </c>
      <c r="H1580" t="s">
        <v>137</v>
      </c>
      <c r="I1580">
        <v>1612</v>
      </c>
      <c r="J1580" t="s">
        <v>21</v>
      </c>
      <c r="K1580">
        <v>0</v>
      </c>
      <c r="L1580" t="s">
        <v>35</v>
      </c>
      <c r="M1580">
        <v>1108</v>
      </c>
    </row>
    <row r="1581" spans="1:13">
      <c r="A1581">
        <v>1575</v>
      </c>
      <c r="B1581">
        <v>106492</v>
      </c>
      <c r="C1581" t="s">
        <v>3647</v>
      </c>
      <c r="D1581" t="s">
        <v>563</v>
      </c>
      <c r="E1581" t="s">
        <v>3648</v>
      </c>
      <c r="F1581" t="str">
        <f>"00376733"</f>
        <v>00376733</v>
      </c>
      <c r="G1581" t="s">
        <v>150</v>
      </c>
      <c r="H1581" t="s">
        <v>151</v>
      </c>
      <c r="I1581">
        <v>1699</v>
      </c>
      <c r="J1581" t="s">
        <v>21</v>
      </c>
      <c r="K1581">
        <v>0</v>
      </c>
      <c r="L1581" t="s">
        <v>83</v>
      </c>
      <c r="M1581">
        <v>1228</v>
      </c>
    </row>
    <row r="1582" spans="1:13">
      <c r="A1582">
        <v>1576</v>
      </c>
      <c r="B1582">
        <v>84874</v>
      </c>
      <c r="C1582" t="s">
        <v>3649</v>
      </c>
      <c r="D1582" t="s">
        <v>76</v>
      </c>
      <c r="E1582" t="s">
        <v>3650</v>
      </c>
      <c r="F1582" t="str">
        <f>"201511018118"</f>
        <v>201511018118</v>
      </c>
      <c r="G1582" t="s">
        <v>47</v>
      </c>
      <c r="H1582" t="s">
        <v>48</v>
      </c>
      <c r="I1582">
        <v>1623</v>
      </c>
      <c r="J1582" t="s">
        <v>21</v>
      </c>
      <c r="K1582">
        <v>0</v>
      </c>
      <c r="M1582">
        <v>1386</v>
      </c>
    </row>
    <row r="1583" spans="1:13">
      <c r="A1583">
        <v>1577</v>
      </c>
      <c r="B1583">
        <v>103497</v>
      </c>
      <c r="C1583" t="s">
        <v>3651</v>
      </c>
      <c r="D1583" t="s">
        <v>3229</v>
      </c>
      <c r="E1583" t="s">
        <v>3652</v>
      </c>
      <c r="F1583" t="str">
        <f>"00396586"</f>
        <v>00396586</v>
      </c>
      <c r="G1583" t="s">
        <v>1682</v>
      </c>
      <c r="H1583" t="s">
        <v>241</v>
      </c>
      <c r="I1583">
        <v>1363</v>
      </c>
      <c r="J1583" t="s">
        <v>21</v>
      </c>
      <c r="K1583">
        <v>0</v>
      </c>
      <c r="M1583">
        <v>1718</v>
      </c>
    </row>
    <row r="1584" spans="1:13">
      <c r="A1584">
        <v>1578</v>
      </c>
      <c r="B1584">
        <v>61272</v>
      </c>
      <c r="C1584" t="s">
        <v>3653</v>
      </c>
      <c r="D1584" t="s">
        <v>145</v>
      </c>
      <c r="E1584" t="s">
        <v>3654</v>
      </c>
      <c r="F1584" t="str">
        <f>"00032538"</f>
        <v>00032538</v>
      </c>
      <c r="G1584" t="s">
        <v>111</v>
      </c>
      <c r="H1584" t="s">
        <v>48</v>
      </c>
      <c r="I1584">
        <v>1620</v>
      </c>
      <c r="J1584" t="s">
        <v>21</v>
      </c>
      <c r="K1584">
        <v>0</v>
      </c>
      <c r="L1584" t="s">
        <v>59</v>
      </c>
      <c r="M1584">
        <v>888</v>
      </c>
    </row>
    <row r="1585" spans="1:13">
      <c r="A1585">
        <v>1579</v>
      </c>
      <c r="B1585">
        <v>66459</v>
      </c>
      <c r="C1585" t="s">
        <v>3655</v>
      </c>
      <c r="D1585" t="s">
        <v>76</v>
      </c>
      <c r="E1585" t="s">
        <v>3656</v>
      </c>
      <c r="F1585" t="str">
        <f>"201008000004"</f>
        <v>201008000004</v>
      </c>
      <c r="G1585" t="s">
        <v>240</v>
      </c>
      <c r="H1585" t="s">
        <v>20</v>
      </c>
      <c r="I1585">
        <v>1535</v>
      </c>
      <c r="J1585" t="s">
        <v>21</v>
      </c>
      <c r="K1585">
        <v>6</v>
      </c>
      <c r="M1585">
        <v>1621</v>
      </c>
    </row>
    <row r="1586" spans="1:13">
      <c r="A1586">
        <v>1580</v>
      </c>
      <c r="B1586">
        <v>60236</v>
      </c>
      <c r="C1586" t="s">
        <v>3657</v>
      </c>
      <c r="D1586" t="s">
        <v>76</v>
      </c>
      <c r="E1586" t="s">
        <v>3658</v>
      </c>
      <c r="F1586" t="str">
        <f>"00282586"</f>
        <v>00282586</v>
      </c>
      <c r="G1586" t="s">
        <v>2440</v>
      </c>
      <c r="H1586" t="s">
        <v>20</v>
      </c>
      <c r="I1586">
        <v>1567</v>
      </c>
      <c r="J1586" t="s">
        <v>21</v>
      </c>
      <c r="K1586">
        <v>0</v>
      </c>
      <c r="L1586" t="s">
        <v>112</v>
      </c>
      <c r="M1586">
        <v>906</v>
      </c>
    </row>
    <row r="1587" spans="1:13">
      <c r="A1587">
        <v>1581</v>
      </c>
      <c r="B1587">
        <v>100965</v>
      </c>
      <c r="C1587" t="s">
        <v>3659</v>
      </c>
      <c r="D1587" t="s">
        <v>90</v>
      </c>
      <c r="E1587" t="s">
        <v>3660</v>
      </c>
      <c r="F1587" t="str">
        <f>"00374854"</f>
        <v>00374854</v>
      </c>
      <c r="G1587" t="s">
        <v>583</v>
      </c>
      <c r="H1587" t="s">
        <v>137</v>
      </c>
      <c r="I1587">
        <v>1601</v>
      </c>
      <c r="J1587" t="s">
        <v>21</v>
      </c>
      <c r="K1587">
        <v>0</v>
      </c>
      <c r="L1587" t="s">
        <v>35</v>
      </c>
      <c r="M1587">
        <v>1086</v>
      </c>
    </row>
    <row r="1588" spans="1:13">
      <c r="A1588">
        <v>1582</v>
      </c>
      <c r="B1588">
        <v>66392</v>
      </c>
      <c r="C1588" t="s">
        <v>3661</v>
      </c>
      <c r="D1588" t="s">
        <v>105</v>
      </c>
      <c r="E1588" t="s">
        <v>3662</v>
      </c>
      <c r="F1588" t="str">
        <f>"00398514"</f>
        <v>00398514</v>
      </c>
      <c r="G1588" t="s">
        <v>358</v>
      </c>
      <c r="H1588" t="s">
        <v>3663</v>
      </c>
      <c r="I1588">
        <v>1367</v>
      </c>
      <c r="J1588" t="s">
        <v>21</v>
      </c>
      <c r="K1588">
        <v>0</v>
      </c>
      <c r="L1588" t="s">
        <v>35</v>
      </c>
      <c r="M1588">
        <v>1000</v>
      </c>
    </row>
    <row r="1589" spans="1:13">
      <c r="A1589">
        <v>1583</v>
      </c>
      <c r="B1589">
        <v>47071</v>
      </c>
      <c r="C1589" t="s">
        <v>3664</v>
      </c>
      <c r="D1589" t="s">
        <v>180</v>
      </c>
      <c r="E1589" t="s">
        <v>3665</v>
      </c>
      <c r="F1589" t="str">
        <f>"00195021"</f>
        <v>00195021</v>
      </c>
      <c r="G1589" t="s">
        <v>603</v>
      </c>
      <c r="H1589" t="s">
        <v>20</v>
      </c>
      <c r="I1589">
        <v>1464</v>
      </c>
      <c r="J1589" t="s">
        <v>21</v>
      </c>
      <c r="K1589">
        <v>0</v>
      </c>
      <c r="L1589" t="s">
        <v>35</v>
      </c>
      <c r="M1589">
        <v>991</v>
      </c>
    </row>
    <row r="1590" spans="1:13">
      <c r="A1590">
        <v>1584</v>
      </c>
      <c r="B1590">
        <v>52735</v>
      </c>
      <c r="C1590" t="s">
        <v>3666</v>
      </c>
      <c r="D1590" t="s">
        <v>80</v>
      </c>
      <c r="E1590" t="s">
        <v>3667</v>
      </c>
      <c r="F1590" t="str">
        <f>"201511021365"</f>
        <v>201511021365</v>
      </c>
      <c r="G1590" t="s">
        <v>63</v>
      </c>
      <c r="H1590" t="s">
        <v>20</v>
      </c>
      <c r="I1590">
        <v>1576</v>
      </c>
      <c r="J1590" t="s">
        <v>21</v>
      </c>
      <c r="K1590">
        <v>0</v>
      </c>
      <c r="M1590">
        <v>1353</v>
      </c>
    </row>
    <row r="1591" spans="1:13">
      <c r="A1591">
        <v>1585</v>
      </c>
      <c r="B1591">
        <v>108974</v>
      </c>
      <c r="C1591" t="s">
        <v>3668</v>
      </c>
      <c r="D1591" t="s">
        <v>76</v>
      </c>
      <c r="E1591" t="s">
        <v>3669</v>
      </c>
      <c r="F1591" t="str">
        <f>"00419730"</f>
        <v>00419730</v>
      </c>
      <c r="G1591" t="s">
        <v>883</v>
      </c>
      <c r="H1591" t="s">
        <v>270</v>
      </c>
      <c r="I1591">
        <v>1585</v>
      </c>
      <c r="J1591" t="s">
        <v>21</v>
      </c>
      <c r="K1591">
        <v>0</v>
      </c>
      <c r="L1591" t="s">
        <v>35</v>
      </c>
      <c r="M1591">
        <v>1208</v>
      </c>
    </row>
    <row r="1592" spans="1:13">
      <c r="A1592">
        <v>1586</v>
      </c>
      <c r="B1592">
        <v>47554</v>
      </c>
      <c r="C1592" t="s">
        <v>3670</v>
      </c>
      <c r="D1592" t="s">
        <v>130</v>
      </c>
      <c r="E1592" t="s">
        <v>3671</v>
      </c>
      <c r="F1592" t="str">
        <f>"00350890"</f>
        <v>00350890</v>
      </c>
      <c r="G1592" t="s">
        <v>696</v>
      </c>
      <c r="H1592" t="s">
        <v>20</v>
      </c>
      <c r="I1592">
        <v>1520</v>
      </c>
      <c r="J1592" t="s">
        <v>21</v>
      </c>
      <c r="K1592">
        <v>0</v>
      </c>
      <c r="L1592" t="s">
        <v>35</v>
      </c>
      <c r="M1592">
        <v>1008</v>
      </c>
    </row>
    <row r="1593" spans="1:13">
      <c r="A1593">
        <v>1587</v>
      </c>
      <c r="B1593">
        <v>75605</v>
      </c>
      <c r="C1593" t="s">
        <v>3672</v>
      </c>
      <c r="D1593" t="s">
        <v>243</v>
      </c>
      <c r="E1593" t="s">
        <v>3673</v>
      </c>
      <c r="F1593" t="str">
        <f>"00398779"</f>
        <v>00398779</v>
      </c>
      <c r="G1593" t="s">
        <v>1203</v>
      </c>
      <c r="H1593" t="s">
        <v>20</v>
      </c>
      <c r="I1593">
        <v>1443</v>
      </c>
      <c r="J1593" t="s">
        <v>21</v>
      </c>
      <c r="K1593">
        <v>0</v>
      </c>
      <c r="M1593">
        <v>1772</v>
      </c>
    </row>
    <row r="1594" spans="1:13">
      <c r="A1594">
        <v>1588</v>
      </c>
      <c r="B1594">
        <v>114885</v>
      </c>
      <c r="C1594" t="s">
        <v>3674</v>
      </c>
      <c r="D1594" t="s">
        <v>2350</v>
      </c>
      <c r="E1594" t="s">
        <v>3675</v>
      </c>
      <c r="F1594" t="str">
        <f>"00407473"</f>
        <v>00407473</v>
      </c>
      <c r="G1594" t="s">
        <v>1753</v>
      </c>
      <c r="H1594" t="s">
        <v>20</v>
      </c>
      <c r="I1594">
        <v>1544</v>
      </c>
      <c r="J1594" t="s">
        <v>21</v>
      </c>
      <c r="K1594">
        <v>0</v>
      </c>
      <c r="M1594">
        <v>1725</v>
      </c>
    </row>
    <row r="1595" spans="1:13">
      <c r="A1595">
        <v>1589</v>
      </c>
      <c r="B1595">
        <v>69709</v>
      </c>
      <c r="C1595" t="s">
        <v>3676</v>
      </c>
      <c r="D1595" t="s">
        <v>198</v>
      </c>
      <c r="E1595" t="s">
        <v>3677</v>
      </c>
      <c r="F1595" t="str">
        <f>"00378384"</f>
        <v>00378384</v>
      </c>
      <c r="G1595" t="s">
        <v>3237</v>
      </c>
      <c r="H1595" t="s">
        <v>20</v>
      </c>
      <c r="I1595">
        <v>1515</v>
      </c>
      <c r="J1595" t="s">
        <v>21</v>
      </c>
      <c r="K1595">
        <v>6</v>
      </c>
      <c r="L1595" t="s">
        <v>35</v>
      </c>
      <c r="M1595">
        <v>1022</v>
      </c>
    </row>
    <row r="1596" spans="1:13">
      <c r="A1596">
        <v>1590</v>
      </c>
      <c r="B1596">
        <v>52929</v>
      </c>
      <c r="C1596" t="s">
        <v>3678</v>
      </c>
      <c r="D1596" t="s">
        <v>98</v>
      </c>
      <c r="E1596" t="s">
        <v>3679</v>
      </c>
      <c r="F1596" t="str">
        <f>"00019139"</f>
        <v>00019139</v>
      </c>
      <c r="G1596" t="s">
        <v>111</v>
      </c>
      <c r="H1596" t="s">
        <v>48</v>
      </c>
      <c r="I1596">
        <v>1620</v>
      </c>
      <c r="J1596" t="s">
        <v>21</v>
      </c>
      <c r="K1596">
        <v>0</v>
      </c>
      <c r="M1596">
        <v>1338</v>
      </c>
    </row>
    <row r="1597" spans="1:13">
      <c r="A1597">
        <v>1591</v>
      </c>
      <c r="B1597">
        <v>107455</v>
      </c>
      <c r="C1597" t="s">
        <v>3678</v>
      </c>
      <c r="D1597" t="s">
        <v>180</v>
      </c>
      <c r="E1597" t="s">
        <v>3680</v>
      </c>
      <c r="F1597" t="str">
        <f>"00290914"</f>
        <v>00290914</v>
      </c>
      <c r="G1597" t="s">
        <v>713</v>
      </c>
      <c r="H1597" t="s">
        <v>366</v>
      </c>
      <c r="I1597">
        <v>1690</v>
      </c>
      <c r="J1597" t="s">
        <v>21</v>
      </c>
      <c r="K1597">
        <v>0</v>
      </c>
      <c r="L1597" t="s">
        <v>88</v>
      </c>
      <c r="M1597">
        <v>685</v>
      </c>
    </row>
    <row r="1598" spans="1:13">
      <c r="A1598">
        <v>1592</v>
      </c>
      <c r="B1598">
        <v>61714</v>
      </c>
      <c r="C1598" t="s">
        <v>3681</v>
      </c>
      <c r="D1598" t="s">
        <v>121</v>
      </c>
      <c r="E1598" t="s">
        <v>3682</v>
      </c>
      <c r="F1598" t="str">
        <f>"201510000919"</f>
        <v>201510000919</v>
      </c>
      <c r="G1598" t="s">
        <v>760</v>
      </c>
      <c r="H1598" t="s">
        <v>20</v>
      </c>
      <c r="I1598">
        <v>1432</v>
      </c>
      <c r="J1598" t="s">
        <v>21</v>
      </c>
      <c r="K1598">
        <v>0</v>
      </c>
      <c r="L1598" t="s">
        <v>35</v>
      </c>
      <c r="M1598">
        <v>1108</v>
      </c>
    </row>
    <row r="1599" spans="1:13">
      <c r="A1599">
        <v>1593</v>
      </c>
      <c r="B1599">
        <v>100867</v>
      </c>
      <c r="C1599" t="s">
        <v>3683</v>
      </c>
      <c r="D1599" t="s">
        <v>3684</v>
      </c>
      <c r="E1599" t="s">
        <v>3685</v>
      </c>
      <c r="F1599" t="str">
        <f>"00402095"</f>
        <v>00402095</v>
      </c>
      <c r="G1599" t="s">
        <v>1203</v>
      </c>
      <c r="H1599" t="s">
        <v>20</v>
      </c>
      <c r="I1599">
        <v>1443</v>
      </c>
      <c r="J1599" t="s">
        <v>21</v>
      </c>
      <c r="K1599">
        <v>0</v>
      </c>
      <c r="L1599" t="s">
        <v>35</v>
      </c>
      <c r="M1599">
        <v>1300</v>
      </c>
    </row>
    <row r="1600" spans="1:13">
      <c r="A1600">
        <v>1594</v>
      </c>
      <c r="B1600">
        <v>103698</v>
      </c>
      <c r="C1600" t="s">
        <v>3686</v>
      </c>
      <c r="D1600" t="s">
        <v>102</v>
      </c>
      <c r="E1600" t="s">
        <v>3687</v>
      </c>
      <c r="F1600" t="str">
        <f>"201511013245"</f>
        <v>201511013245</v>
      </c>
      <c r="G1600" t="s">
        <v>47</v>
      </c>
      <c r="H1600" t="s">
        <v>48</v>
      </c>
      <c r="I1600">
        <v>1623</v>
      </c>
      <c r="J1600" t="s">
        <v>21</v>
      </c>
      <c r="K1600">
        <v>0</v>
      </c>
      <c r="L1600" t="s">
        <v>59</v>
      </c>
      <c r="M1600">
        <v>1128</v>
      </c>
    </row>
    <row r="1601" spans="1:13">
      <c r="A1601">
        <v>1595</v>
      </c>
      <c r="B1601">
        <v>48096</v>
      </c>
      <c r="C1601" t="s">
        <v>3686</v>
      </c>
      <c r="D1601" t="s">
        <v>243</v>
      </c>
      <c r="E1601" t="s">
        <v>3688</v>
      </c>
      <c r="F1601" t="str">
        <f>"00342729"</f>
        <v>00342729</v>
      </c>
      <c r="G1601" t="s">
        <v>1203</v>
      </c>
      <c r="H1601" t="s">
        <v>20</v>
      </c>
      <c r="I1601">
        <v>1443</v>
      </c>
      <c r="J1601" t="s">
        <v>21</v>
      </c>
      <c r="K1601">
        <v>0</v>
      </c>
      <c r="L1601" t="s">
        <v>35</v>
      </c>
      <c r="M1601">
        <v>1208</v>
      </c>
    </row>
    <row r="1602" spans="1:13">
      <c r="A1602">
        <v>1596</v>
      </c>
      <c r="B1602">
        <v>80416</v>
      </c>
      <c r="C1602" t="s">
        <v>3686</v>
      </c>
      <c r="D1602" t="s">
        <v>121</v>
      </c>
      <c r="E1602" t="s">
        <v>3689</v>
      </c>
      <c r="F1602" t="str">
        <f>"00392814"</f>
        <v>00392814</v>
      </c>
      <c r="G1602" t="s">
        <v>531</v>
      </c>
      <c r="H1602" t="s">
        <v>20</v>
      </c>
      <c r="I1602">
        <v>1445</v>
      </c>
      <c r="J1602" t="s">
        <v>21</v>
      </c>
      <c r="K1602">
        <v>0</v>
      </c>
      <c r="L1602" t="s">
        <v>35</v>
      </c>
      <c r="M1602">
        <v>1108</v>
      </c>
    </row>
    <row r="1603" spans="1:13">
      <c r="A1603">
        <v>1597</v>
      </c>
      <c r="B1603">
        <v>81672</v>
      </c>
      <c r="C1603" t="s">
        <v>3690</v>
      </c>
      <c r="D1603" t="s">
        <v>2446</v>
      </c>
      <c r="E1603" t="s">
        <v>3691</v>
      </c>
      <c r="F1603" t="str">
        <f>"00416697"</f>
        <v>00416697</v>
      </c>
      <c r="G1603" t="s">
        <v>760</v>
      </c>
      <c r="H1603" t="s">
        <v>20</v>
      </c>
      <c r="I1603">
        <v>1432</v>
      </c>
      <c r="J1603" t="s">
        <v>21</v>
      </c>
      <c r="K1603">
        <v>0</v>
      </c>
      <c r="L1603" t="s">
        <v>35</v>
      </c>
      <c r="M1603">
        <v>1108</v>
      </c>
    </row>
    <row r="1604" spans="1:13">
      <c r="A1604">
        <v>1598</v>
      </c>
      <c r="B1604">
        <v>83035</v>
      </c>
      <c r="C1604" t="s">
        <v>3692</v>
      </c>
      <c r="D1604" t="s">
        <v>198</v>
      </c>
      <c r="E1604" t="s">
        <v>3693</v>
      </c>
      <c r="F1604" t="str">
        <f>"00379957"</f>
        <v>00379957</v>
      </c>
      <c r="G1604" t="s">
        <v>47</v>
      </c>
      <c r="H1604" t="s">
        <v>48</v>
      </c>
      <c r="I1604">
        <v>1623</v>
      </c>
      <c r="J1604" t="s">
        <v>21</v>
      </c>
      <c r="K1604">
        <v>0</v>
      </c>
      <c r="L1604" t="s">
        <v>35</v>
      </c>
      <c r="M1604">
        <v>883</v>
      </c>
    </row>
    <row r="1605" spans="1:13">
      <c r="A1605">
        <v>1599</v>
      </c>
      <c r="B1605">
        <v>78564</v>
      </c>
      <c r="C1605" t="s">
        <v>3694</v>
      </c>
      <c r="D1605" t="s">
        <v>198</v>
      </c>
      <c r="E1605" t="s">
        <v>3695</v>
      </c>
      <c r="F1605" t="str">
        <f>"201511023090"</f>
        <v>201511023090</v>
      </c>
      <c r="G1605" t="s">
        <v>47</v>
      </c>
      <c r="H1605" t="s">
        <v>48</v>
      </c>
      <c r="I1605">
        <v>1623</v>
      </c>
      <c r="J1605" t="s">
        <v>21</v>
      </c>
      <c r="K1605">
        <v>0</v>
      </c>
      <c r="M1605">
        <v>1388</v>
      </c>
    </row>
    <row r="1606" spans="1:13">
      <c r="A1606">
        <v>1600</v>
      </c>
      <c r="B1606">
        <v>84184</v>
      </c>
      <c r="C1606" t="s">
        <v>3696</v>
      </c>
      <c r="D1606" t="s">
        <v>2350</v>
      </c>
      <c r="E1606" t="s">
        <v>3697</v>
      </c>
      <c r="F1606" t="str">
        <f>"00287143"</f>
        <v>00287143</v>
      </c>
      <c r="G1606" t="s">
        <v>3698</v>
      </c>
      <c r="H1606" t="s">
        <v>3699</v>
      </c>
      <c r="I1606">
        <v>1650</v>
      </c>
      <c r="J1606" t="s">
        <v>21</v>
      </c>
      <c r="K1606">
        <v>0</v>
      </c>
      <c r="M1606">
        <v>1616</v>
      </c>
    </row>
    <row r="1607" spans="1:13">
      <c r="A1607">
        <v>1601</v>
      </c>
      <c r="B1607">
        <v>87887</v>
      </c>
      <c r="C1607" t="s">
        <v>3700</v>
      </c>
      <c r="D1607" t="s">
        <v>80</v>
      </c>
      <c r="E1607" t="s">
        <v>3701</v>
      </c>
      <c r="F1607" t="str">
        <f>"00258470"</f>
        <v>00258470</v>
      </c>
      <c r="G1607" t="s">
        <v>3702</v>
      </c>
      <c r="H1607" t="s">
        <v>20</v>
      </c>
      <c r="I1607">
        <v>1501</v>
      </c>
      <c r="J1607" t="s">
        <v>21</v>
      </c>
      <c r="K1607">
        <v>6</v>
      </c>
      <c r="M1607">
        <v>1328</v>
      </c>
    </row>
    <row r="1608" spans="1:13">
      <c r="A1608">
        <v>1602</v>
      </c>
      <c r="B1608">
        <v>92700</v>
      </c>
      <c r="C1608" t="s">
        <v>3703</v>
      </c>
      <c r="D1608" t="s">
        <v>105</v>
      </c>
      <c r="E1608" t="s">
        <v>3704</v>
      </c>
      <c r="F1608" t="str">
        <f>"201510002494"</f>
        <v>201510002494</v>
      </c>
      <c r="G1608" t="s">
        <v>709</v>
      </c>
      <c r="H1608" t="s">
        <v>20</v>
      </c>
      <c r="I1608">
        <v>1413</v>
      </c>
      <c r="J1608" t="s">
        <v>21</v>
      </c>
      <c r="K1608">
        <v>0</v>
      </c>
      <c r="L1608" t="s">
        <v>112</v>
      </c>
      <c r="M1608">
        <v>819</v>
      </c>
    </row>
    <row r="1609" spans="1:13">
      <c r="A1609">
        <v>1603</v>
      </c>
      <c r="B1609">
        <v>103180</v>
      </c>
      <c r="C1609" t="s">
        <v>3705</v>
      </c>
      <c r="D1609" t="s">
        <v>90</v>
      </c>
      <c r="E1609" t="s">
        <v>3706</v>
      </c>
      <c r="F1609" t="str">
        <f>"00403841"</f>
        <v>00403841</v>
      </c>
      <c r="G1609" t="s">
        <v>3707</v>
      </c>
      <c r="H1609" t="s">
        <v>20</v>
      </c>
      <c r="I1609">
        <v>1437</v>
      </c>
      <c r="J1609" t="s">
        <v>21</v>
      </c>
      <c r="K1609">
        <v>6</v>
      </c>
      <c r="M1609">
        <v>1528</v>
      </c>
    </row>
    <row r="1610" spans="1:13">
      <c r="A1610">
        <v>1604</v>
      </c>
      <c r="B1610">
        <v>67089</v>
      </c>
      <c r="C1610" t="s">
        <v>3708</v>
      </c>
      <c r="D1610" t="s">
        <v>76</v>
      </c>
      <c r="E1610" t="s">
        <v>3709</v>
      </c>
      <c r="F1610" t="str">
        <f>"00396728"</f>
        <v>00396728</v>
      </c>
      <c r="G1610" t="s">
        <v>200</v>
      </c>
      <c r="H1610" t="s">
        <v>20</v>
      </c>
      <c r="I1610">
        <v>1492</v>
      </c>
      <c r="J1610" t="s">
        <v>21</v>
      </c>
      <c r="K1610">
        <v>0</v>
      </c>
      <c r="M1610">
        <v>1513</v>
      </c>
    </row>
    <row r="1611" spans="1:13">
      <c r="A1611">
        <v>1605</v>
      </c>
      <c r="B1611">
        <v>106313</v>
      </c>
      <c r="C1611" t="s">
        <v>3710</v>
      </c>
      <c r="D1611" t="s">
        <v>80</v>
      </c>
      <c r="E1611" t="s">
        <v>3711</v>
      </c>
      <c r="F1611" t="str">
        <f>"201511015377"</f>
        <v>201511015377</v>
      </c>
      <c r="G1611" t="s">
        <v>47</v>
      </c>
      <c r="H1611" t="s">
        <v>48</v>
      </c>
      <c r="I1611">
        <v>1623</v>
      </c>
      <c r="J1611" t="s">
        <v>21</v>
      </c>
      <c r="K1611">
        <v>0</v>
      </c>
      <c r="M1611">
        <v>1328</v>
      </c>
    </row>
    <row r="1612" spans="1:13">
      <c r="A1612">
        <v>1606</v>
      </c>
      <c r="B1612">
        <v>110619</v>
      </c>
      <c r="C1612" t="s">
        <v>3712</v>
      </c>
      <c r="D1612" t="s">
        <v>76</v>
      </c>
      <c r="E1612" t="s">
        <v>3713</v>
      </c>
      <c r="F1612" t="str">
        <f>"00416424"</f>
        <v>00416424</v>
      </c>
      <c r="G1612" t="s">
        <v>610</v>
      </c>
      <c r="H1612" t="s">
        <v>20</v>
      </c>
      <c r="I1612">
        <v>1429</v>
      </c>
      <c r="J1612" t="s">
        <v>21</v>
      </c>
      <c r="K1612">
        <v>0</v>
      </c>
      <c r="L1612" t="s">
        <v>83</v>
      </c>
      <c r="M1612">
        <v>1239</v>
      </c>
    </row>
    <row r="1613" spans="1:13">
      <c r="A1613">
        <v>1607</v>
      </c>
      <c r="B1613">
        <v>116172</v>
      </c>
      <c r="C1613" t="s">
        <v>3714</v>
      </c>
      <c r="D1613" t="s">
        <v>163</v>
      </c>
      <c r="E1613" t="s">
        <v>3715</v>
      </c>
      <c r="F1613" t="str">
        <f>"00420972"</f>
        <v>00420972</v>
      </c>
      <c r="G1613" t="s">
        <v>380</v>
      </c>
      <c r="H1613" t="s">
        <v>137</v>
      </c>
      <c r="I1613">
        <v>1615</v>
      </c>
      <c r="J1613" t="s">
        <v>21</v>
      </c>
      <c r="K1613">
        <v>0</v>
      </c>
      <c r="M1613">
        <v>1478</v>
      </c>
    </row>
    <row r="1614" spans="1:13">
      <c r="A1614">
        <v>1608</v>
      </c>
      <c r="B1614">
        <v>59856</v>
      </c>
      <c r="C1614" t="s">
        <v>3716</v>
      </c>
      <c r="D1614" t="s">
        <v>102</v>
      </c>
      <c r="E1614" t="s">
        <v>3717</v>
      </c>
      <c r="F1614" t="str">
        <f>"00036271"</f>
        <v>00036271</v>
      </c>
      <c r="G1614" t="s">
        <v>211</v>
      </c>
      <c r="H1614" t="s">
        <v>48</v>
      </c>
      <c r="I1614">
        <v>1628</v>
      </c>
      <c r="J1614" t="s">
        <v>21</v>
      </c>
      <c r="K1614">
        <v>0</v>
      </c>
      <c r="L1614" t="s">
        <v>35</v>
      </c>
      <c r="M1614">
        <v>1008</v>
      </c>
    </row>
    <row r="1615" spans="1:13">
      <c r="A1615">
        <v>1609</v>
      </c>
      <c r="B1615">
        <v>62609</v>
      </c>
      <c r="C1615" t="s">
        <v>3718</v>
      </c>
      <c r="D1615" t="s">
        <v>139</v>
      </c>
      <c r="E1615" t="s">
        <v>3719</v>
      </c>
      <c r="F1615" t="str">
        <f>"201502002856"</f>
        <v>201502002856</v>
      </c>
      <c r="G1615" t="s">
        <v>47</v>
      </c>
      <c r="H1615" t="s">
        <v>48</v>
      </c>
      <c r="I1615">
        <v>1623</v>
      </c>
      <c r="J1615" t="s">
        <v>21</v>
      </c>
      <c r="K1615">
        <v>0</v>
      </c>
      <c r="M1615">
        <v>1488</v>
      </c>
    </row>
    <row r="1616" spans="1:13">
      <c r="A1616">
        <v>1610</v>
      </c>
      <c r="B1616">
        <v>56312</v>
      </c>
      <c r="C1616" t="s">
        <v>3720</v>
      </c>
      <c r="D1616" t="s">
        <v>3721</v>
      </c>
      <c r="E1616" t="s">
        <v>3722</v>
      </c>
      <c r="F1616" t="str">
        <f>"00361748"</f>
        <v>00361748</v>
      </c>
      <c r="G1616" t="s">
        <v>804</v>
      </c>
      <c r="H1616" t="s">
        <v>535</v>
      </c>
      <c r="I1616">
        <v>1353</v>
      </c>
      <c r="J1616" t="s">
        <v>21</v>
      </c>
      <c r="K1616">
        <v>0</v>
      </c>
      <c r="M1616">
        <v>1464</v>
      </c>
    </row>
    <row r="1617" spans="1:13">
      <c r="A1617">
        <v>1611</v>
      </c>
      <c r="B1617">
        <v>106426</v>
      </c>
      <c r="C1617" t="s">
        <v>3723</v>
      </c>
      <c r="D1617" t="s">
        <v>180</v>
      </c>
      <c r="E1617" t="s">
        <v>3724</v>
      </c>
      <c r="F1617" t="str">
        <f>"00401599"</f>
        <v>00401599</v>
      </c>
      <c r="G1617" t="s">
        <v>603</v>
      </c>
      <c r="H1617" t="s">
        <v>20</v>
      </c>
      <c r="I1617">
        <v>1464</v>
      </c>
      <c r="J1617" t="s">
        <v>21</v>
      </c>
      <c r="K1617">
        <v>0</v>
      </c>
      <c r="L1617" t="s">
        <v>59</v>
      </c>
      <c r="M1617">
        <v>1137</v>
      </c>
    </row>
    <row r="1618" spans="1:13">
      <c r="A1618">
        <v>1612</v>
      </c>
      <c r="B1618">
        <v>47299</v>
      </c>
      <c r="C1618" t="s">
        <v>3725</v>
      </c>
      <c r="D1618" t="s">
        <v>243</v>
      </c>
      <c r="E1618" t="s">
        <v>3726</v>
      </c>
      <c r="F1618" t="str">
        <f>"201511020195"</f>
        <v>201511020195</v>
      </c>
      <c r="G1618" t="s">
        <v>107</v>
      </c>
      <c r="H1618" t="s">
        <v>20</v>
      </c>
      <c r="I1618">
        <v>1472</v>
      </c>
      <c r="J1618" t="s">
        <v>21</v>
      </c>
      <c r="K1618">
        <v>0</v>
      </c>
      <c r="L1618" t="s">
        <v>35</v>
      </c>
      <c r="M1618">
        <v>908</v>
      </c>
    </row>
    <row r="1619" spans="1:13">
      <c r="A1619">
        <v>1613</v>
      </c>
      <c r="B1619">
        <v>82983</v>
      </c>
      <c r="C1619" t="s">
        <v>3727</v>
      </c>
      <c r="D1619" t="s">
        <v>655</v>
      </c>
      <c r="E1619" t="s">
        <v>3728</v>
      </c>
      <c r="F1619" t="str">
        <f>"00044932"</f>
        <v>00044932</v>
      </c>
      <c r="G1619" t="s">
        <v>258</v>
      </c>
      <c r="H1619" t="s">
        <v>20</v>
      </c>
      <c r="I1619">
        <v>1484</v>
      </c>
      <c r="J1619" t="s">
        <v>21</v>
      </c>
      <c r="K1619">
        <v>0</v>
      </c>
      <c r="L1619" t="s">
        <v>35</v>
      </c>
      <c r="M1619">
        <v>919</v>
      </c>
    </row>
    <row r="1620" spans="1:13">
      <c r="A1620">
        <v>1614</v>
      </c>
      <c r="B1620">
        <v>46445</v>
      </c>
      <c r="C1620" t="s">
        <v>3729</v>
      </c>
      <c r="D1620" t="s">
        <v>914</v>
      </c>
      <c r="E1620" t="s">
        <v>3730</v>
      </c>
      <c r="F1620" t="str">
        <f>"00254341"</f>
        <v>00254341</v>
      </c>
      <c r="G1620" t="s">
        <v>215</v>
      </c>
      <c r="H1620" t="s">
        <v>216</v>
      </c>
      <c r="I1620">
        <v>1708</v>
      </c>
      <c r="J1620" t="s">
        <v>21</v>
      </c>
      <c r="K1620">
        <v>6</v>
      </c>
      <c r="L1620" t="s">
        <v>35</v>
      </c>
      <c r="M1620">
        <v>1023</v>
      </c>
    </row>
    <row r="1621" spans="1:13">
      <c r="A1621">
        <v>1615</v>
      </c>
      <c r="B1621">
        <v>53079</v>
      </c>
      <c r="C1621" t="s">
        <v>3731</v>
      </c>
      <c r="D1621" t="s">
        <v>2623</v>
      </c>
      <c r="E1621" t="s">
        <v>3732</v>
      </c>
      <c r="F1621" t="str">
        <f>"201510000934"</f>
        <v>201510000934</v>
      </c>
      <c r="G1621" t="s">
        <v>107</v>
      </c>
      <c r="H1621" t="s">
        <v>20</v>
      </c>
      <c r="I1621">
        <v>1472</v>
      </c>
      <c r="J1621" t="s">
        <v>21</v>
      </c>
      <c r="K1621">
        <v>0</v>
      </c>
      <c r="L1621" t="s">
        <v>35</v>
      </c>
      <c r="M1621">
        <v>908</v>
      </c>
    </row>
    <row r="1622" spans="1:13">
      <c r="A1622">
        <v>1616</v>
      </c>
      <c r="B1622">
        <v>53350</v>
      </c>
      <c r="C1622" t="s">
        <v>3733</v>
      </c>
      <c r="D1622" t="s">
        <v>145</v>
      </c>
      <c r="E1622" t="s">
        <v>3734</v>
      </c>
      <c r="F1622" t="str">
        <f>"201001000327"</f>
        <v>201001000327</v>
      </c>
      <c r="G1622" t="s">
        <v>718</v>
      </c>
      <c r="H1622" t="s">
        <v>48</v>
      </c>
      <c r="I1622">
        <v>1625</v>
      </c>
      <c r="J1622" t="s">
        <v>21</v>
      </c>
      <c r="K1622">
        <v>0</v>
      </c>
      <c r="M1622">
        <v>1478</v>
      </c>
    </row>
    <row r="1623" spans="1:13">
      <c r="A1623">
        <v>1617</v>
      </c>
      <c r="B1623">
        <v>79841</v>
      </c>
      <c r="C1623" t="s">
        <v>3735</v>
      </c>
      <c r="D1623" t="s">
        <v>557</v>
      </c>
      <c r="E1623" t="s">
        <v>3736</v>
      </c>
      <c r="F1623" t="str">
        <f>"00398801"</f>
        <v>00398801</v>
      </c>
      <c r="G1623" t="s">
        <v>1203</v>
      </c>
      <c r="H1623" t="s">
        <v>20</v>
      </c>
      <c r="I1623">
        <v>1443</v>
      </c>
      <c r="J1623" t="s">
        <v>21</v>
      </c>
      <c r="K1623">
        <v>0</v>
      </c>
      <c r="L1623" t="s">
        <v>35</v>
      </c>
      <c r="M1623">
        <v>1100</v>
      </c>
    </row>
    <row r="1624" spans="1:13">
      <c r="A1624">
        <v>1618</v>
      </c>
      <c r="B1624">
        <v>112526</v>
      </c>
      <c r="C1624" t="s">
        <v>3737</v>
      </c>
      <c r="D1624" t="s">
        <v>180</v>
      </c>
      <c r="E1624" t="s">
        <v>3738</v>
      </c>
      <c r="F1624" t="str">
        <f>"00032498"</f>
        <v>00032498</v>
      </c>
      <c r="G1624" t="s">
        <v>1445</v>
      </c>
      <c r="H1624" t="s">
        <v>535</v>
      </c>
      <c r="I1624">
        <v>1665</v>
      </c>
      <c r="J1624" t="s">
        <v>21</v>
      </c>
      <c r="K1624">
        <v>6</v>
      </c>
      <c r="M1624">
        <v>1388</v>
      </c>
    </row>
    <row r="1625" spans="1:13">
      <c r="A1625">
        <v>1619</v>
      </c>
      <c r="B1625">
        <v>112001</v>
      </c>
      <c r="C1625" t="s">
        <v>3739</v>
      </c>
      <c r="D1625" t="s">
        <v>90</v>
      </c>
      <c r="E1625" t="s">
        <v>3740</v>
      </c>
      <c r="F1625" t="str">
        <f>"00419172"</f>
        <v>00419172</v>
      </c>
      <c r="G1625" t="s">
        <v>47</v>
      </c>
      <c r="H1625" t="s">
        <v>48</v>
      </c>
      <c r="I1625">
        <v>1623</v>
      </c>
      <c r="J1625" t="s">
        <v>21</v>
      </c>
      <c r="K1625">
        <v>0</v>
      </c>
      <c r="L1625" t="s">
        <v>35</v>
      </c>
      <c r="M1625">
        <v>1108</v>
      </c>
    </row>
    <row r="1626" spans="1:13">
      <c r="A1626">
        <v>1620</v>
      </c>
      <c r="B1626">
        <v>51714</v>
      </c>
      <c r="C1626" t="s">
        <v>3741</v>
      </c>
      <c r="D1626" t="s">
        <v>507</v>
      </c>
      <c r="E1626" t="s">
        <v>3742</v>
      </c>
      <c r="F1626" t="str">
        <f>"00254658"</f>
        <v>00254658</v>
      </c>
      <c r="G1626" t="s">
        <v>230</v>
      </c>
      <c r="H1626" t="s">
        <v>20</v>
      </c>
      <c r="I1626">
        <v>1545</v>
      </c>
      <c r="J1626" t="s">
        <v>21</v>
      </c>
      <c r="K1626">
        <v>0</v>
      </c>
      <c r="L1626" t="s">
        <v>35</v>
      </c>
      <c r="M1626">
        <v>1236</v>
      </c>
    </row>
    <row r="1627" spans="1:13">
      <c r="A1627">
        <v>1621</v>
      </c>
      <c r="B1627">
        <v>52901</v>
      </c>
      <c r="C1627" t="s">
        <v>3743</v>
      </c>
      <c r="D1627" t="s">
        <v>243</v>
      </c>
      <c r="E1627" t="s">
        <v>3744</v>
      </c>
      <c r="F1627" t="str">
        <f>"201604004747"</f>
        <v>201604004747</v>
      </c>
      <c r="G1627" t="s">
        <v>561</v>
      </c>
      <c r="H1627" t="s">
        <v>20</v>
      </c>
      <c r="I1627">
        <v>1574</v>
      </c>
      <c r="J1627" t="s">
        <v>21</v>
      </c>
      <c r="K1627">
        <v>0</v>
      </c>
      <c r="L1627" t="s">
        <v>35</v>
      </c>
      <c r="M1627">
        <v>885</v>
      </c>
    </row>
    <row r="1628" spans="1:13">
      <c r="A1628">
        <v>1622</v>
      </c>
      <c r="B1628">
        <v>74591</v>
      </c>
      <c r="C1628" t="s">
        <v>3745</v>
      </c>
      <c r="D1628" t="s">
        <v>80</v>
      </c>
      <c r="E1628" t="s">
        <v>3746</v>
      </c>
      <c r="F1628" t="str">
        <f>"00371145"</f>
        <v>00371145</v>
      </c>
      <c r="G1628" t="s">
        <v>203</v>
      </c>
      <c r="H1628" t="s">
        <v>20</v>
      </c>
      <c r="I1628">
        <v>1476</v>
      </c>
      <c r="J1628" t="s">
        <v>21</v>
      </c>
      <c r="K1628">
        <v>6</v>
      </c>
      <c r="L1628" t="s">
        <v>35</v>
      </c>
      <c r="M1628">
        <v>640</v>
      </c>
    </row>
    <row r="1629" spans="1:13">
      <c r="A1629">
        <v>1623</v>
      </c>
      <c r="B1629">
        <v>69144</v>
      </c>
      <c r="C1629" t="s">
        <v>3747</v>
      </c>
      <c r="D1629" t="s">
        <v>756</v>
      </c>
      <c r="E1629" t="s">
        <v>3748</v>
      </c>
      <c r="F1629" t="str">
        <f>"00385837"</f>
        <v>00385837</v>
      </c>
      <c r="G1629" t="s">
        <v>19</v>
      </c>
      <c r="H1629" t="s">
        <v>20</v>
      </c>
      <c r="I1629">
        <v>1531</v>
      </c>
      <c r="J1629" t="s">
        <v>21</v>
      </c>
      <c r="K1629">
        <v>0</v>
      </c>
      <c r="L1629" t="s">
        <v>35</v>
      </c>
      <c r="M1629">
        <v>908</v>
      </c>
    </row>
    <row r="1630" spans="1:13">
      <c r="A1630">
        <v>1624</v>
      </c>
      <c r="B1630">
        <v>64156</v>
      </c>
      <c r="C1630" t="s">
        <v>3749</v>
      </c>
      <c r="D1630" t="s">
        <v>90</v>
      </c>
      <c r="E1630" t="s">
        <v>3750</v>
      </c>
      <c r="F1630" t="str">
        <f>"201511009857"</f>
        <v>201511009857</v>
      </c>
      <c r="G1630" t="s">
        <v>47</v>
      </c>
      <c r="H1630" t="s">
        <v>48</v>
      </c>
      <c r="I1630">
        <v>1623</v>
      </c>
      <c r="J1630" t="s">
        <v>21</v>
      </c>
      <c r="K1630">
        <v>0</v>
      </c>
      <c r="L1630" t="s">
        <v>88</v>
      </c>
      <c r="M1630">
        <v>800</v>
      </c>
    </row>
    <row r="1631" spans="1:13">
      <c r="A1631">
        <v>1625</v>
      </c>
      <c r="B1631">
        <v>66663</v>
      </c>
      <c r="C1631" t="s">
        <v>3751</v>
      </c>
      <c r="D1631" t="s">
        <v>495</v>
      </c>
      <c r="E1631" t="s">
        <v>3752</v>
      </c>
      <c r="F1631" t="str">
        <f>"201501000045"</f>
        <v>201501000045</v>
      </c>
      <c r="G1631" t="s">
        <v>1160</v>
      </c>
      <c r="H1631" t="s">
        <v>20</v>
      </c>
      <c r="I1631">
        <v>1424</v>
      </c>
      <c r="J1631" t="s">
        <v>21</v>
      </c>
      <c r="K1631">
        <v>0</v>
      </c>
      <c r="L1631" t="s">
        <v>59</v>
      </c>
      <c r="M1631">
        <v>1328</v>
      </c>
    </row>
    <row r="1632" spans="1:13">
      <c r="A1632">
        <v>1626</v>
      </c>
      <c r="B1632">
        <v>95305</v>
      </c>
      <c r="C1632" t="s">
        <v>3753</v>
      </c>
      <c r="D1632" t="s">
        <v>145</v>
      </c>
      <c r="E1632" t="s">
        <v>3754</v>
      </c>
      <c r="F1632" t="str">
        <f>"00376618"</f>
        <v>00376618</v>
      </c>
      <c r="G1632" t="s">
        <v>42</v>
      </c>
      <c r="H1632" t="s">
        <v>43</v>
      </c>
      <c r="I1632">
        <v>1712</v>
      </c>
      <c r="J1632" t="s">
        <v>21</v>
      </c>
      <c r="K1632">
        <v>0</v>
      </c>
      <c r="M1632">
        <v>1603</v>
      </c>
    </row>
    <row r="1633" spans="1:13">
      <c r="A1633">
        <v>1627</v>
      </c>
      <c r="B1633">
        <v>75834</v>
      </c>
      <c r="C1633" t="s">
        <v>3755</v>
      </c>
      <c r="D1633" t="s">
        <v>198</v>
      </c>
      <c r="E1633" t="s">
        <v>3756</v>
      </c>
      <c r="F1633" t="str">
        <f>"00376537"</f>
        <v>00376537</v>
      </c>
      <c r="G1633" t="s">
        <v>47</v>
      </c>
      <c r="H1633" t="s">
        <v>48</v>
      </c>
      <c r="I1633">
        <v>1623</v>
      </c>
      <c r="J1633" t="s">
        <v>21</v>
      </c>
      <c r="K1633">
        <v>0</v>
      </c>
      <c r="M1633">
        <v>1438</v>
      </c>
    </row>
    <row r="1634" spans="1:13">
      <c r="A1634">
        <v>1628</v>
      </c>
      <c r="B1634">
        <v>59440</v>
      </c>
      <c r="C1634" t="s">
        <v>3757</v>
      </c>
      <c r="D1634" t="s">
        <v>243</v>
      </c>
      <c r="E1634" t="s">
        <v>3758</v>
      </c>
      <c r="F1634" t="str">
        <f>"201511021978"</f>
        <v>201511021978</v>
      </c>
      <c r="G1634" t="s">
        <v>230</v>
      </c>
      <c r="H1634" t="s">
        <v>20</v>
      </c>
      <c r="I1634">
        <v>1545</v>
      </c>
      <c r="J1634" t="s">
        <v>21</v>
      </c>
      <c r="K1634">
        <v>0</v>
      </c>
      <c r="L1634" t="s">
        <v>35</v>
      </c>
      <c r="M1634">
        <v>1008</v>
      </c>
    </row>
    <row r="1635" spans="1:13">
      <c r="A1635">
        <v>1629</v>
      </c>
      <c r="B1635">
        <v>113535</v>
      </c>
      <c r="C1635" t="s">
        <v>3759</v>
      </c>
      <c r="D1635" t="s">
        <v>76</v>
      </c>
      <c r="E1635" t="s">
        <v>3760</v>
      </c>
      <c r="F1635" t="str">
        <f>"00278006"</f>
        <v>00278006</v>
      </c>
      <c r="G1635" t="s">
        <v>1084</v>
      </c>
      <c r="H1635" t="s">
        <v>1085</v>
      </c>
      <c r="I1635">
        <v>1588</v>
      </c>
      <c r="J1635" t="s">
        <v>21</v>
      </c>
      <c r="K1635">
        <v>0</v>
      </c>
      <c r="M1635">
        <v>1630</v>
      </c>
    </row>
    <row r="1636" spans="1:13">
      <c r="A1636">
        <v>1630</v>
      </c>
      <c r="B1636">
        <v>107177</v>
      </c>
      <c r="C1636" t="s">
        <v>3761</v>
      </c>
      <c r="D1636" t="s">
        <v>90</v>
      </c>
      <c r="E1636" t="s">
        <v>3762</v>
      </c>
      <c r="F1636" t="str">
        <f>"00418180"</f>
        <v>00418180</v>
      </c>
      <c r="G1636" t="s">
        <v>1883</v>
      </c>
      <c r="H1636" t="s">
        <v>20</v>
      </c>
      <c r="I1636">
        <v>1541</v>
      </c>
      <c r="J1636" t="s">
        <v>21</v>
      </c>
      <c r="K1636">
        <v>6</v>
      </c>
      <c r="M1636">
        <v>1788</v>
      </c>
    </row>
    <row r="1637" spans="1:13">
      <c r="A1637">
        <v>1631</v>
      </c>
      <c r="B1637">
        <v>107524</v>
      </c>
      <c r="C1637" t="s">
        <v>3763</v>
      </c>
      <c r="D1637" t="s">
        <v>121</v>
      </c>
      <c r="E1637" t="s">
        <v>3764</v>
      </c>
      <c r="F1637" t="str">
        <f>"201402011373"</f>
        <v>201402011373</v>
      </c>
      <c r="G1637" t="s">
        <v>70</v>
      </c>
      <c r="H1637" t="s">
        <v>71</v>
      </c>
      <c r="I1637">
        <v>1702</v>
      </c>
      <c r="J1637" t="s">
        <v>21</v>
      </c>
      <c r="K1637">
        <v>0</v>
      </c>
      <c r="M1637">
        <v>1328</v>
      </c>
    </row>
    <row r="1638" spans="1:13">
      <c r="A1638">
        <v>1632</v>
      </c>
      <c r="B1638">
        <v>109427</v>
      </c>
      <c r="C1638" t="s">
        <v>3765</v>
      </c>
      <c r="D1638" t="s">
        <v>238</v>
      </c>
      <c r="E1638" t="s">
        <v>3766</v>
      </c>
      <c r="F1638" t="str">
        <f>"00372743"</f>
        <v>00372743</v>
      </c>
      <c r="G1638" t="s">
        <v>42</v>
      </c>
      <c r="H1638" t="s">
        <v>43</v>
      </c>
      <c r="I1638">
        <v>1712</v>
      </c>
      <c r="J1638" t="s">
        <v>21</v>
      </c>
      <c r="K1638">
        <v>0</v>
      </c>
      <c r="L1638" t="s">
        <v>112</v>
      </c>
      <c r="M1638">
        <v>850</v>
      </c>
    </row>
    <row r="1639" spans="1:13">
      <c r="A1639">
        <v>1633</v>
      </c>
      <c r="B1639">
        <v>71354</v>
      </c>
      <c r="C1639" t="s">
        <v>3767</v>
      </c>
      <c r="D1639" t="s">
        <v>105</v>
      </c>
      <c r="E1639" t="s">
        <v>3768</v>
      </c>
      <c r="F1639" t="str">
        <f>"00380757"</f>
        <v>00380757</v>
      </c>
      <c r="G1639" t="s">
        <v>155</v>
      </c>
      <c r="H1639" t="s">
        <v>156</v>
      </c>
      <c r="I1639">
        <v>1342</v>
      </c>
      <c r="J1639" t="s">
        <v>21</v>
      </c>
      <c r="K1639">
        <v>0</v>
      </c>
      <c r="M1639">
        <v>1728</v>
      </c>
    </row>
    <row r="1640" spans="1:13">
      <c r="A1640">
        <v>1634</v>
      </c>
      <c r="B1640">
        <v>48632</v>
      </c>
      <c r="C1640" t="s">
        <v>3769</v>
      </c>
      <c r="D1640" t="s">
        <v>90</v>
      </c>
      <c r="E1640" t="s">
        <v>3770</v>
      </c>
      <c r="F1640" t="str">
        <f>"00260260"</f>
        <v>00260260</v>
      </c>
      <c r="G1640" t="s">
        <v>178</v>
      </c>
      <c r="H1640" t="s">
        <v>20</v>
      </c>
      <c r="I1640">
        <v>1519</v>
      </c>
      <c r="J1640" t="s">
        <v>21</v>
      </c>
      <c r="K1640">
        <v>0</v>
      </c>
      <c r="M1640">
        <v>1488</v>
      </c>
    </row>
    <row r="1641" spans="1:13">
      <c r="A1641">
        <v>1635</v>
      </c>
      <c r="B1641">
        <v>115655</v>
      </c>
      <c r="C1641" t="s">
        <v>3771</v>
      </c>
      <c r="D1641" t="s">
        <v>655</v>
      </c>
      <c r="E1641" t="s">
        <v>3772</v>
      </c>
      <c r="F1641" t="str">
        <f>"00421566"</f>
        <v>00421566</v>
      </c>
      <c r="G1641" t="s">
        <v>211</v>
      </c>
      <c r="H1641" t="s">
        <v>48</v>
      </c>
      <c r="I1641">
        <v>1628</v>
      </c>
      <c r="J1641" t="s">
        <v>21</v>
      </c>
      <c r="K1641">
        <v>0</v>
      </c>
      <c r="L1641" t="s">
        <v>35</v>
      </c>
      <c r="M1641">
        <v>875</v>
      </c>
    </row>
    <row r="1642" spans="1:13">
      <c r="A1642">
        <v>1636</v>
      </c>
      <c r="B1642">
        <v>47394</v>
      </c>
      <c r="C1642" t="s">
        <v>3773</v>
      </c>
      <c r="D1642" t="s">
        <v>76</v>
      </c>
      <c r="E1642" t="s">
        <v>3774</v>
      </c>
      <c r="F1642" t="str">
        <f>"00199370"</f>
        <v>00199370</v>
      </c>
      <c r="G1642" t="s">
        <v>856</v>
      </c>
      <c r="H1642" t="s">
        <v>366</v>
      </c>
      <c r="I1642">
        <v>1706</v>
      </c>
      <c r="J1642" t="s">
        <v>21</v>
      </c>
      <c r="K1642">
        <v>0</v>
      </c>
      <c r="L1642" t="s">
        <v>35</v>
      </c>
      <c r="M1642">
        <v>922</v>
      </c>
    </row>
    <row r="1643" spans="1:13">
      <c r="A1643">
        <v>1637</v>
      </c>
      <c r="B1643">
        <v>110036</v>
      </c>
      <c r="C1643" t="s">
        <v>3775</v>
      </c>
      <c r="D1643" t="s">
        <v>566</v>
      </c>
      <c r="E1643" t="s">
        <v>3776</v>
      </c>
      <c r="F1643" t="str">
        <f>"201504002930"</f>
        <v>201504002930</v>
      </c>
      <c r="G1643" t="s">
        <v>488</v>
      </c>
      <c r="H1643" t="s">
        <v>20</v>
      </c>
      <c r="I1643">
        <v>1482</v>
      </c>
      <c r="J1643" t="s">
        <v>21</v>
      </c>
      <c r="K1643">
        <v>0</v>
      </c>
      <c r="L1643" t="s">
        <v>35</v>
      </c>
      <c r="M1643">
        <v>900</v>
      </c>
    </row>
    <row r="1644" spans="1:13">
      <c r="A1644">
        <v>1638</v>
      </c>
      <c r="B1644">
        <v>52194</v>
      </c>
      <c r="C1644" t="s">
        <v>3777</v>
      </c>
      <c r="D1644" t="s">
        <v>94</v>
      </c>
      <c r="E1644" t="s">
        <v>3778</v>
      </c>
      <c r="F1644" t="str">
        <f>"00247817"</f>
        <v>00247817</v>
      </c>
      <c r="G1644" t="s">
        <v>258</v>
      </c>
      <c r="H1644" t="s">
        <v>20</v>
      </c>
      <c r="I1644">
        <v>1484</v>
      </c>
      <c r="J1644" t="s">
        <v>21</v>
      </c>
      <c r="K1644">
        <v>0</v>
      </c>
      <c r="M1644">
        <v>1418</v>
      </c>
    </row>
    <row r="1645" spans="1:13">
      <c r="A1645">
        <v>1639</v>
      </c>
      <c r="B1645">
        <v>63671</v>
      </c>
      <c r="C1645" t="s">
        <v>3779</v>
      </c>
      <c r="D1645" t="s">
        <v>3780</v>
      </c>
      <c r="E1645" t="s">
        <v>3781</v>
      </c>
      <c r="F1645" t="str">
        <f>"00362329"</f>
        <v>00362329</v>
      </c>
      <c r="G1645" t="s">
        <v>52</v>
      </c>
      <c r="H1645" t="s">
        <v>20</v>
      </c>
      <c r="I1645">
        <v>1503</v>
      </c>
      <c r="J1645" t="s">
        <v>21</v>
      </c>
      <c r="K1645">
        <v>0</v>
      </c>
      <c r="M1645">
        <v>1334</v>
      </c>
    </row>
    <row r="1646" spans="1:13">
      <c r="A1646">
        <v>1640</v>
      </c>
      <c r="B1646">
        <v>79788</v>
      </c>
      <c r="C1646" t="s">
        <v>3782</v>
      </c>
      <c r="D1646" t="s">
        <v>205</v>
      </c>
      <c r="E1646" t="s">
        <v>3783</v>
      </c>
      <c r="F1646" t="str">
        <f>"00380879"</f>
        <v>00380879</v>
      </c>
      <c r="G1646" t="s">
        <v>1393</v>
      </c>
      <c r="H1646" t="s">
        <v>20</v>
      </c>
      <c r="I1646">
        <v>1498</v>
      </c>
      <c r="J1646" t="s">
        <v>21</v>
      </c>
      <c r="K1646">
        <v>0</v>
      </c>
      <c r="L1646" t="s">
        <v>35</v>
      </c>
      <c r="M1646">
        <v>1236</v>
      </c>
    </row>
    <row r="1647" spans="1:13">
      <c r="A1647">
        <v>1641</v>
      </c>
      <c r="B1647">
        <v>95795</v>
      </c>
      <c r="C1647" t="s">
        <v>3784</v>
      </c>
      <c r="D1647" t="s">
        <v>109</v>
      </c>
      <c r="E1647" t="s">
        <v>3785</v>
      </c>
      <c r="F1647" t="str">
        <f>"00381472"</f>
        <v>00381472</v>
      </c>
      <c r="G1647" t="s">
        <v>211</v>
      </c>
      <c r="H1647" t="s">
        <v>48</v>
      </c>
      <c r="I1647">
        <v>1628</v>
      </c>
      <c r="J1647" t="s">
        <v>21</v>
      </c>
      <c r="K1647">
        <v>0</v>
      </c>
      <c r="M1647">
        <v>1313</v>
      </c>
    </row>
    <row r="1648" spans="1:13">
      <c r="A1648">
        <v>1642</v>
      </c>
      <c r="B1648">
        <v>72849</v>
      </c>
      <c r="C1648" t="s">
        <v>3786</v>
      </c>
      <c r="D1648" t="s">
        <v>243</v>
      </c>
      <c r="E1648" t="s">
        <v>3787</v>
      </c>
      <c r="F1648" t="str">
        <f>"00408446"</f>
        <v>00408446</v>
      </c>
      <c r="G1648" t="s">
        <v>42</v>
      </c>
      <c r="H1648" t="s">
        <v>43</v>
      </c>
      <c r="I1648">
        <v>1712</v>
      </c>
      <c r="J1648" t="s">
        <v>21</v>
      </c>
      <c r="K1648">
        <v>0</v>
      </c>
      <c r="L1648" t="s">
        <v>88</v>
      </c>
      <c r="M1648">
        <v>887</v>
      </c>
    </row>
    <row r="1649" spans="1:13">
      <c r="A1649">
        <v>1643</v>
      </c>
      <c r="B1649">
        <v>94042</v>
      </c>
      <c r="C1649" t="s">
        <v>3788</v>
      </c>
      <c r="D1649" t="s">
        <v>80</v>
      </c>
      <c r="E1649" t="s">
        <v>3789</v>
      </c>
      <c r="F1649" t="str">
        <f>"00229757"</f>
        <v>00229757</v>
      </c>
      <c r="G1649" t="s">
        <v>325</v>
      </c>
      <c r="H1649" t="s">
        <v>326</v>
      </c>
      <c r="I1649">
        <v>1592</v>
      </c>
      <c r="J1649" t="s">
        <v>21</v>
      </c>
      <c r="K1649">
        <v>0</v>
      </c>
      <c r="M1649">
        <v>1488</v>
      </c>
    </row>
    <row r="1650" spans="1:13">
      <c r="A1650">
        <v>1644</v>
      </c>
      <c r="B1650">
        <v>62031</v>
      </c>
      <c r="C1650" t="s">
        <v>3790</v>
      </c>
      <c r="D1650" t="s">
        <v>238</v>
      </c>
      <c r="E1650" t="s">
        <v>3791</v>
      </c>
      <c r="F1650" t="str">
        <f>"00296389"</f>
        <v>00296389</v>
      </c>
      <c r="G1650" t="s">
        <v>763</v>
      </c>
      <c r="H1650" t="s">
        <v>20</v>
      </c>
      <c r="I1650">
        <v>1430</v>
      </c>
      <c r="J1650" t="s">
        <v>21</v>
      </c>
      <c r="K1650">
        <v>0</v>
      </c>
      <c r="L1650" t="s">
        <v>35</v>
      </c>
      <c r="M1650">
        <v>1000</v>
      </c>
    </row>
    <row r="1651" spans="1:13">
      <c r="A1651">
        <v>1645</v>
      </c>
      <c r="B1651">
        <v>80326</v>
      </c>
      <c r="C1651" t="s">
        <v>3792</v>
      </c>
      <c r="D1651" t="s">
        <v>80</v>
      </c>
      <c r="E1651" t="s">
        <v>3793</v>
      </c>
      <c r="F1651" t="str">
        <f>"00389495"</f>
        <v>00389495</v>
      </c>
      <c r="G1651" t="s">
        <v>107</v>
      </c>
      <c r="H1651" t="s">
        <v>20</v>
      </c>
      <c r="I1651">
        <v>1472</v>
      </c>
      <c r="J1651" t="s">
        <v>21</v>
      </c>
      <c r="K1651">
        <v>0</v>
      </c>
      <c r="L1651" t="s">
        <v>35</v>
      </c>
      <c r="M1651">
        <v>908</v>
      </c>
    </row>
    <row r="1652" spans="1:13">
      <c r="A1652">
        <v>1646</v>
      </c>
      <c r="B1652">
        <v>110158</v>
      </c>
      <c r="C1652" t="s">
        <v>3794</v>
      </c>
      <c r="D1652" t="s">
        <v>121</v>
      </c>
      <c r="E1652" t="s">
        <v>3795</v>
      </c>
      <c r="F1652" t="str">
        <f>"00407730"</f>
        <v>00407730</v>
      </c>
      <c r="G1652" t="s">
        <v>107</v>
      </c>
      <c r="H1652" t="s">
        <v>20</v>
      </c>
      <c r="I1652">
        <v>1472</v>
      </c>
      <c r="J1652" t="s">
        <v>21</v>
      </c>
      <c r="K1652">
        <v>0</v>
      </c>
      <c r="M1652">
        <v>1438</v>
      </c>
    </row>
    <row r="1653" spans="1:13">
      <c r="A1653">
        <v>1647</v>
      </c>
      <c r="B1653">
        <v>88187</v>
      </c>
      <c r="C1653" t="s">
        <v>3796</v>
      </c>
      <c r="D1653" t="s">
        <v>238</v>
      </c>
      <c r="E1653" t="s">
        <v>3797</v>
      </c>
      <c r="F1653" t="str">
        <f>"00372298"</f>
        <v>00372298</v>
      </c>
      <c r="G1653" t="s">
        <v>418</v>
      </c>
      <c r="H1653" t="s">
        <v>234</v>
      </c>
      <c r="I1653">
        <v>1335</v>
      </c>
      <c r="J1653" t="s">
        <v>21</v>
      </c>
      <c r="K1653">
        <v>6</v>
      </c>
      <c r="L1653" t="s">
        <v>59</v>
      </c>
      <c r="M1653">
        <v>1033</v>
      </c>
    </row>
    <row r="1654" spans="1:13">
      <c r="A1654">
        <v>1648</v>
      </c>
      <c r="B1654">
        <v>64933</v>
      </c>
      <c r="C1654" t="s">
        <v>3798</v>
      </c>
      <c r="D1654" t="s">
        <v>76</v>
      </c>
      <c r="E1654" t="s">
        <v>3799</v>
      </c>
      <c r="F1654" t="str">
        <f>"00367741"</f>
        <v>00367741</v>
      </c>
      <c r="G1654" t="s">
        <v>24</v>
      </c>
      <c r="H1654" t="s">
        <v>20</v>
      </c>
      <c r="I1654">
        <v>1577</v>
      </c>
      <c r="J1654" t="s">
        <v>21</v>
      </c>
      <c r="K1654">
        <v>0</v>
      </c>
      <c r="M1654">
        <v>1528</v>
      </c>
    </row>
    <row r="1655" spans="1:13">
      <c r="A1655">
        <v>1649</v>
      </c>
      <c r="B1655">
        <v>59588</v>
      </c>
      <c r="C1655" t="s">
        <v>3800</v>
      </c>
      <c r="D1655" t="s">
        <v>180</v>
      </c>
      <c r="E1655" t="s">
        <v>3801</v>
      </c>
      <c r="F1655" t="str">
        <f>"00357201"</f>
        <v>00357201</v>
      </c>
      <c r="G1655" t="s">
        <v>42</v>
      </c>
      <c r="H1655" t="s">
        <v>43</v>
      </c>
      <c r="I1655">
        <v>1712</v>
      </c>
      <c r="J1655" t="s">
        <v>21</v>
      </c>
      <c r="K1655">
        <v>0</v>
      </c>
      <c r="M1655">
        <v>1514</v>
      </c>
    </row>
    <row r="1656" spans="1:13">
      <c r="A1656">
        <v>1650</v>
      </c>
      <c r="B1656">
        <v>100008</v>
      </c>
      <c r="C1656" t="s">
        <v>3802</v>
      </c>
      <c r="D1656" t="s">
        <v>209</v>
      </c>
      <c r="E1656" t="s">
        <v>3803</v>
      </c>
      <c r="F1656" t="str">
        <f>"00380198"</f>
        <v>00380198</v>
      </c>
      <c r="G1656" t="s">
        <v>107</v>
      </c>
      <c r="H1656" t="s">
        <v>20</v>
      </c>
      <c r="I1656">
        <v>1472</v>
      </c>
      <c r="J1656" t="s">
        <v>21</v>
      </c>
      <c r="K1656">
        <v>0</v>
      </c>
      <c r="L1656" t="s">
        <v>35</v>
      </c>
      <c r="M1656">
        <v>908</v>
      </c>
    </row>
    <row r="1657" spans="1:13">
      <c r="A1657">
        <v>1651</v>
      </c>
      <c r="B1657">
        <v>47275</v>
      </c>
      <c r="C1657" t="s">
        <v>3804</v>
      </c>
      <c r="D1657" t="s">
        <v>105</v>
      </c>
      <c r="E1657" t="s">
        <v>3805</v>
      </c>
      <c r="F1657" t="str">
        <f>"00360351"</f>
        <v>00360351</v>
      </c>
      <c r="G1657" t="s">
        <v>1100</v>
      </c>
      <c r="H1657" t="s">
        <v>234</v>
      </c>
      <c r="I1657">
        <v>1344</v>
      </c>
      <c r="J1657" t="s">
        <v>21</v>
      </c>
      <c r="K1657">
        <v>6</v>
      </c>
      <c r="L1657" t="s">
        <v>35</v>
      </c>
      <c r="M1657">
        <v>1008</v>
      </c>
    </row>
    <row r="1658" spans="1:13">
      <c r="A1658">
        <v>1652</v>
      </c>
      <c r="B1658">
        <v>54236</v>
      </c>
      <c r="C1658" t="s">
        <v>3806</v>
      </c>
      <c r="D1658" t="s">
        <v>94</v>
      </c>
      <c r="E1658" t="s">
        <v>3807</v>
      </c>
      <c r="F1658" t="str">
        <f>"00031037"</f>
        <v>00031037</v>
      </c>
      <c r="G1658" t="s">
        <v>488</v>
      </c>
      <c r="H1658" t="s">
        <v>20</v>
      </c>
      <c r="I1658">
        <v>1482</v>
      </c>
      <c r="J1658" t="s">
        <v>21</v>
      </c>
      <c r="K1658">
        <v>0</v>
      </c>
      <c r="L1658" t="s">
        <v>83</v>
      </c>
      <c r="M1658">
        <v>1212</v>
      </c>
    </row>
    <row r="1659" spans="1:13">
      <c r="A1659">
        <v>1653</v>
      </c>
      <c r="B1659">
        <v>51407</v>
      </c>
      <c r="C1659" t="s">
        <v>3808</v>
      </c>
      <c r="D1659" t="s">
        <v>80</v>
      </c>
      <c r="E1659" t="s">
        <v>3809</v>
      </c>
      <c r="F1659" t="str">
        <f>"00293586"</f>
        <v>00293586</v>
      </c>
      <c r="G1659" t="s">
        <v>718</v>
      </c>
      <c r="H1659" t="s">
        <v>48</v>
      </c>
      <c r="I1659">
        <v>1625</v>
      </c>
      <c r="J1659" t="s">
        <v>21</v>
      </c>
      <c r="K1659">
        <v>0</v>
      </c>
      <c r="L1659" t="s">
        <v>35</v>
      </c>
      <c r="M1659">
        <v>1191</v>
      </c>
    </row>
    <row r="1660" spans="1:13">
      <c r="A1660">
        <v>1654</v>
      </c>
      <c r="B1660">
        <v>88482</v>
      </c>
      <c r="C1660" t="s">
        <v>3810</v>
      </c>
      <c r="D1660" t="s">
        <v>139</v>
      </c>
      <c r="E1660" t="s">
        <v>3811</v>
      </c>
      <c r="F1660" t="str">
        <f>"00021966"</f>
        <v>00021966</v>
      </c>
      <c r="G1660" t="s">
        <v>1239</v>
      </c>
      <c r="H1660" t="s">
        <v>1240</v>
      </c>
      <c r="I1660">
        <v>1368</v>
      </c>
      <c r="J1660" t="s">
        <v>21</v>
      </c>
      <c r="K1660">
        <v>0</v>
      </c>
      <c r="L1660" t="s">
        <v>35</v>
      </c>
      <c r="M1660">
        <v>1258</v>
      </c>
    </row>
    <row r="1661" spans="1:13">
      <c r="A1661">
        <v>1655</v>
      </c>
      <c r="B1661">
        <v>94882</v>
      </c>
      <c r="C1661" t="s">
        <v>3812</v>
      </c>
      <c r="D1661" t="s">
        <v>76</v>
      </c>
      <c r="E1661" t="s">
        <v>3813</v>
      </c>
      <c r="F1661" t="str">
        <f>"00393058"</f>
        <v>00393058</v>
      </c>
      <c r="G1661" t="s">
        <v>338</v>
      </c>
      <c r="H1661" t="s">
        <v>20</v>
      </c>
      <c r="I1661">
        <v>1426</v>
      </c>
      <c r="J1661" t="s">
        <v>21</v>
      </c>
      <c r="K1661">
        <v>0</v>
      </c>
      <c r="M1661">
        <v>1638</v>
      </c>
    </row>
    <row r="1662" spans="1:13">
      <c r="A1662">
        <v>1656</v>
      </c>
      <c r="B1662">
        <v>69614</v>
      </c>
      <c r="C1662" t="s">
        <v>3814</v>
      </c>
      <c r="D1662" t="s">
        <v>80</v>
      </c>
      <c r="E1662" t="s">
        <v>3815</v>
      </c>
      <c r="F1662" t="str">
        <f>"201409004203"</f>
        <v>201409004203</v>
      </c>
      <c r="G1662" t="s">
        <v>42</v>
      </c>
      <c r="H1662" t="s">
        <v>43</v>
      </c>
      <c r="I1662">
        <v>1712</v>
      </c>
      <c r="J1662" t="s">
        <v>21</v>
      </c>
      <c r="K1662">
        <v>0</v>
      </c>
      <c r="L1662" t="s">
        <v>59</v>
      </c>
      <c r="M1662">
        <v>1238</v>
      </c>
    </row>
    <row r="1663" spans="1:13">
      <c r="A1663">
        <v>1657</v>
      </c>
      <c r="B1663">
        <v>63854</v>
      </c>
      <c r="C1663" t="s">
        <v>3816</v>
      </c>
      <c r="D1663" t="s">
        <v>105</v>
      </c>
      <c r="E1663" t="s">
        <v>3817</v>
      </c>
      <c r="F1663" t="str">
        <f>"00348401"</f>
        <v>00348401</v>
      </c>
      <c r="G1663" t="s">
        <v>42</v>
      </c>
      <c r="H1663" t="s">
        <v>43</v>
      </c>
      <c r="I1663">
        <v>1712</v>
      </c>
      <c r="J1663" t="s">
        <v>21</v>
      </c>
      <c r="K1663">
        <v>0</v>
      </c>
      <c r="M1663">
        <v>1543</v>
      </c>
    </row>
    <row r="1664" spans="1:13">
      <c r="A1664">
        <v>1658</v>
      </c>
      <c r="B1664">
        <v>90009</v>
      </c>
      <c r="C1664" t="s">
        <v>3818</v>
      </c>
      <c r="D1664" t="s">
        <v>145</v>
      </c>
      <c r="E1664" t="s">
        <v>3819</v>
      </c>
      <c r="F1664" t="str">
        <f>"00374474"</f>
        <v>00374474</v>
      </c>
      <c r="G1664" t="s">
        <v>47</v>
      </c>
      <c r="H1664" t="s">
        <v>48</v>
      </c>
      <c r="I1664">
        <v>1623</v>
      </c>
      <c r="J1664" t="s">
        <v>21</v>
      </c>
      <c r="K1664">
        <v>0</v>
      </c>
      <c r="L1664" t="s">
        <v>35</v>
      </c>
      <c r="M1664">
        <v>1065</v>
      </c>
    </row>
    <row r="1665" spans="1:13">
      <c r="A1665">
        <v>1659</v>
      </c>
      <c r="B1665">
        <v>71033</v>
      </c>
      <c r="C1665" t="s">
        <v>3820</v>
      </c>
      <c r="D1665" t="s">
        <v>563</v>
      </c>
      <c r="E1665" t="s">
        <v>3821</v>
      </c>
      <c r="F1665" t="str">
        <f>"00373749"</f>
        <v>00373749</v>
      </c>
      <c r="G1665" t="s">
        <v>1890</v>
      </c>
      <c r="H1665" t="s">
        <v>3499</v>
      </c>
      <c r="I1665">
        <v>1672</v>
      </c>
      <c r="J1665" t="s">
        <v>21</v>
      </c>
      <c r="K1665">
        <v>0</v>
      </c>
      <c r="M1665">
        <v>1381</v>
      </c>
    </row>
    <row r="1666" spans="1:13">
      <c r="A1666">
        <v>1660</v>
      </c>
      <c r="B1666">
        <v>57317</v>
      </c>
      <c r="C1666" t="s">
        <v>3822</v>
      </c>
      <c r="D1666" t="s">
        <v>76</v>
      </c>
      <c r="E1666" t="s">
        <v>3823</v>
      </c>
      <c r="F1666" t="str">
        <f>"00245092"</f>
        <v>00245092</v>
      </c>
      <c r="G1666" t="s">
        <v>258</v>
      </c>
      <c r="H1666" t="s">
        <v>20</v>
      </c>
      <c r="I1666">
        <v>1484</v>
      </c>
      <c r="J1666" t="s">
        <v>21</v>
      </c>
      <c r="K1666">
        <v>0</v>
      </c>
      <c r="M1666">
        <v>1311</v>
      </c>
    </row>
    <row r="1667" spans="1:13">
      <c r="A1667">
        <v>1661</v>
      </c>
      <c r="B1667">
        <v>67238</v>
      </c>
      <c r="C1667" t="s">
        <v>3824</v>
      </c>
      <c r="D1667" t="s">
        <v>80</v>
      </c>
      <c r="E1667" t="s">
        <v>3825</v>
      </c>
      <c r="F1667" t="str">
        <f>"00368895"</f>
        <v>00368895</v>
      </c>
      <c r="G1667" t="s">
        <v>837</v>
      </c>
      <c r="H1667" t="s">
        <v>20</v>
      </c>
      <c r="I1667">
        <v>1546</v>
      </c>
      <c r="J1667" t="s">
        <v>21</v>
      </c>
      <c r="K1667">
        <v>0</v>
      </c>
      <c r="M1667">
        <v>1538</v>
      </c>
    </row>
    <row r="1668" spans="1:13">
      <c r="A1668">
        <v>1662</v>
      </c>
      <c r="B1668">
        <v>115511</v>
      </c>
      <c r="C1668" t="s">
        <v>3826</v>
      </c>
      <c r="D1668" t="s">
        <v>85</v>
      </c>
      <c r="E1668" t="s">
        <v>3827</v>
      </c>
      <c r="F1668" t="str">
        <f>"00401975"</f>
        <v>00401975</v>
      </c>
      <c r="G1668" t="s">
        <v>47</v>
      </c>
      <c r="H1668" t="s">
        <v>48</v>
      </c>
      <c r="I1668">
        <v>1623</v>
      </c>
      <c r="J1668" t="s">
        <v>21</v>
      </c>
      <c r="K1668">
        <v>0</v>
      </c>
      <c r="L1668" t="s">
        <v>88</v>
      </c>
      <c r="M1668">
        <v>670</v>
      </c>
    </row>
    <row r="1669" spans="1:13">
      <c r="A1669">
        <v>1663</v>
      </c>
      <c r="B1669">
        <v>114017</v>
      </c>
      <c r="C1669" t="s">
        <v>3828</v>
      </c>
      <c r="D1669" t="s">
        <v>145</v>
      </c>
      <c r="E1669" t="s">
        <v>3829</v>
      </c>
      <c r="F1669" t="str">
        <f>"00237022"</f>
        <v>00237022</v>
      </c>
      <c r="G1669" t="s">
        <v>19</v>
      </c>
      <c r="H1669" t="s">
        <v>20</v>
      </c>
      <c r="I1669">
        <v>1531</v>
      </c>
      <c r="J1669" t="s">
        <v>21</v>
      </c>
      <c r="K1669">
        <v>0</v>
      </c>
      <c r="L1669" t="s">
        <v>59</v>
      </c>
      <c r="M1669">
        <v>888</v>
      </c>
    </row>
    <row r="1670" spans="1:13">
      <c r="A1670">
        <v>1664</v>
      </c>
      <c r="B1670">
        <v>62409</v>
      </c>
      <c r="C1670" t="s">
        <v>3830</v>
      </c>
      <c r="D1670" t="s">
        <v>90</v>
      </c>
      <c r="E1670" t="s">
        <v>3831</v>
      </c>
      <c r="F1670" t="str">
        <f>"00334629"</f>
        <v>00334629</v>
      </c>
      <c r="G1670" t="s">
        <v>1509</v>
      </c>
      <c r="H1670" t="s">
        <v>20</v>
      </c>
      <c r="I1670">
        <v>1563</v>
      </c>
      <c r="J1670" t="s">
        <v>21</v>
      </c>
      <c r="K1670">
        <v>6</v>
      </c>
      <c r="M1670">
        <v>1338</v>
      </c>
    </row>
    <row r="1671" spans="1:13">
      <c r="A1671">
        <v>1665</v>
      </c>
      <c r="B1671">
        <v>107808</v>
      </c>
      <c r="C1671" t="s">
        <v>3832</v>
      </c>
      <c r="D1671" t="s">
        <v>90</v>
      </c>
      <c r="E1671" t="s">
        <v>3833</v>
      </c>
      <c r="F1671" t="str">
        <f>"00416546"</f>
        <v>00416546</v>
      </c>
      <c r="G1671" t="s">
        <v>883</v>
      </c>
      <c r="H1671" t="s">
        <v>270</v>
      </c>
      <c r="I1671">
        <v>1585</v>
      </c>
      <c r="J1671" t="s">
        <v>21</v>
      </c>
      <c r="K1671">
        <v>0</v>
      </c>
      <c r="L1671" t="s">
        <v>35</v>
      </c>
      <c r="M1671">
        <v>1008</v>
      </c>
    </row>
    <row r="1672" spans="1:13">
      <c r="A1672">
        <v>1666</v>
      </c>
      <c r="B1672">
        <v>59825</v>
      </c>
      <c r="C1672" t="s">
        <v>3834</v>
      </c>
      <c r="D1672" t="s">
        <v>85</v>
      </c>
      <c r="E1672" t="s">
        <v>3835</v>
      </c>
      <c r="F1672" t="str">
        <f>"201412006611"</f>
        <v>201412006611</v>
      </c>
      <c r="G1672" t="s">
        <v>1995</v>
      </c>
      <c r="H1672" t="s">
        <v>20</v>
      </c>
      <c r="I1672">
        <v>1508</v>
      </c>
      <c r="J1672" t="s">
        <v>21</v>
      </c>
      <c r="K1672">
        <v>0</v>
      </c>
      <c r="M1672">
        <v>1589</v>
      </c>
    </row>
    <row r="1673" spans="1:13">
      <c r="A1673">
        <v>1667</v>
      </c>
      <c r="B1673">
        <v>106830</v>
      </c>
      <c r="C1673" t="s">
        <v>3836</v>
      </c>
      <c r="D1673" t="s">
        <v>563</v>
      </c>
      <c r="E1673" t="s">
        <v>3837</v>
      </c>
      <c r="F1673" t="str">
        <f>"00406629"</f>
        <v>00406629</v>
      </c>
      <c r="G1673" t="s">
        <v>78</v>
      </c>
      <c r="H1673" t="s">
        <v>20</v>
      </c>
      <c r="I1673">
        <v>1460</v>
      </c>
      <c r="J1673" t="s">
        <v>21</v>
      </c>
      <c r="K1673">
        <v>0</v>
      </c>
      <c r="L1673" t="s">
        <v>59</v>
      </c>
      <c r="M1673">
        <v>1278</v>
      </c>
    </row>
    <row r="1674" spans="1:13">
      <c r="A1674">
        <v>1668</v>
      </c>
      <c r="B1674">
        <v>55723</v>
      </c>
      <c r="C1674" t="s">
        <v>3838</v>
      </c>
      <c r="D1674" t="s">
        <v>334</v>
      </c>
      <c r="E1674" t="s">
        <v>3839</v>
      </c>
      <c r="F1674" t="str">
        <f>"00335165"</f>
        <v>00335165</v>
      </c>
      <c r="G1674" t="s">
        <v>47</v>
      </c>
      <c r="H1674" t="s">
        <v>48</v>
      </c>
      <c r="I1674">
        <v>1623</v>
      </c>
      <c r="J1674" t="s">
        <v>21</v>
      </c>
      <c r="K1674">
        <v>0</v>
      </c>
      <c r="L1674" t="s">
        <v>83</v>
      </c>
      <c r="M1674">
        <v>1260</v>
      </c>
    </row>
    <row r="1675" spans="1:13">
      <c r="A1675">
        <v>1669</v>
      </c>
      <c r="B1675">
        <v>89388</v>
      </c>
      <c r="C1675" t="s">
        <v>3840</v>
      </c>
      <c r="D1675" t="s">
        <v>243</v>
      </c>
      <c r="E1675" t="s">
        <v>3841</v>
      </c>
      <c r="F1675" t="str">
        <f>"00245545"</f>
        <v>00245545</v>
      </c>
      <c r="G1675" t="s">
        <v>763</v>
      </c>
      <c r="H1675" t="s">
        <v>20</v>
      </c>
      <c r="I1675">
        <v>1430</v>
      </c>
      <c r="J1675" t="s">
        <v>21</v>
      </c>
      <c r="K1675">
        <v>0</v>
      </c>
      <c r="M1675">
        <v>1425</v>
      </c>
    </row>
    <row r="1676" spans="1:13">
      <c r="A1676">
        <v>1670</v>
      </c>
      <c r="B1676">
        <v>51208</v>
      </c>
      <c r="C1676" t="s">
        <v>3842</v>
      </c>
      <c r="D1676" t="s">
        <v>105</v>
      </c>
      <c r="E1676" t="s">
        <v>3843</v>
      </c>
      <c r="F1676" t="str">
        <f>"00368488"</f>
        <v>00368488</v>
      </c>
      <c r="G1676" t="s">
        <v>70</v>
      </c>
      <c r="H1676" t="s">
        <v>71</v>
      </c>
      <c r="I1676">
        <v>1702</v>
      </c>
      <c r="J1676" t="s">
        <v>21</v>
      </c>
      <c r="K1676">
        <v>0</v>
      </c>
      <c r="L1676" t="s">
        <v>35</v>
      </c>
      <c r="M1676">
        <v>1008</v>
      </c>
    </row>
    <row r="1677" spans="1:13">
      <c r="A1677">
        <v>1671</v>
      </c>
      <c r="B1677">
        <v>107164</v>
      </c>
      <c r="C1677" t="s">
        <v>3844</v>
      </c>
      <c r="D1677" t="s">
        <v>218</v>
      </c>
      <c r="E1677" t="s">
        <v>3845</v>
      </c>
      <c r="F1677" t="str">
        <f>"201411002712"</f>
        <v>201411002712</v>
      </c>
      <c r="G1677" t="s">
        <v>47</v>
      </c>
      <c r="H1677" t="s">
        <v>48</v>
      </c>
      <c r="I1677">
        <v>1623</v>
      </c>
      <c r="J1677" t="s">
        <v>21</v>
      </c>
      <c r="K1677">
        <v>0</v>
      </c>
      <c r="L1677" t="s">
        <v>112</v>
      </c>
      <c r="M1677">
        <v>808</v>
      </c>
    </row>
    <row r="1678" spans="1:13">
      <c r="A1678">
        <v>1672</v>
      </c>
      <c r="B1678">
        <v>63137</v>
      </c>
      <c r="C1678" t="s">
        <v>3846</v>
      </c>
      <c r="D1678" t="s">
        <v>139</v>
      </c>
      <c r="E1678" t="s">
        <v>3847</v>
      </c>
      <c r="F1678" t="str">
        <f>"201401002092"</f>
        <v>201401002092</v>
      </c>
      <c r="G1678" t="s">
        <v>352</v>
      </c>
      <c r="H1678" t="s">
        <v>20</v>
      </c>
      <c r="I1678">
        <v>1471</v>
      </c>
      <c r="J1678" t="s">
        <v>21</v>
      </c>
      <c r="K1678">
        <v>0</v>
      </c>
      <c r="L1678" t="s">
        <v>35</v>
      </c>
      <c r="M1678">
        <v>924</v>
      </c>
    </row>
    <row r="1679" spans="1:13">
      <c r="A1679">
        <v>1673</v>
      </c>
      <c r="B1679">
        <v>77494</v>
      </c>
      <c r="C1679" t="s">
        <v>3848</v>
      </c>
      <c r="D1679" t="s">
        <v>76</v>
      </c>
      <c r="E1679" t="s">
        <v>3849</v>
      </c>
      <c r="F1679" t="str">
        <f>"00320844"</f>
        <v>00320844</v>
      </c>
      <c r="G1679" t="s">
        <v>1556</v>
      </c>
      <c r="H1679" t="s">
        <v>20</v>
      </c>
      <c r="I1679">
        <v>1530</v>
      </c>
      <c r="J1679" t="s">
        <v>21</v>
      </c>
      <c r="K1679">
        <v>0</v>
      </c>
      <c r="M1679">
        <v>1718</v>
      </c>
    </row>
    <row r="1680" spans="1:13">
      <c r="A1680">
        <v>1674</v>
      </c>
      <c r="B1680">
        <v>91405</v>
      </c>
      <c r="C1680" t="s">
        <v>3850</v>
      </c>
      <c r="D1680" t="s">
        <v>243</v>
      </c>
      <c r="E1680" t="s">
        <v>3851</v>
      </c>
      <c r="F1680" t="str">
        <f>"00339991"</f>
        <v>00339991</v>
      </c>
      <c r="G1680" t="s">
        <v>1595</v>
      </c>
      <c r="H1680" t="s">
        <v>20</v>
      </c>
      <c r="I1680">
        <v>1538</v>
      </c>
      <c r="J1680" t="s">
        <v>21</v>
      </c>
      <c r="K1680">
        <v>6</v>
      </c>
      <c r="L1680" t="s">
        <v>35</v>
      </c>
      <c r="M1680">
        <v>805</v>
      </c>
    </row>
    <row r="1681" spans="1:13">
      <c r="A1681">
        <v>1675</v>
      </c>
      <c r="B1681">
        <v>83375</v>
      </c>
      <c r="C1681" t="s">
        <v>3852</v>
      </c>
      <c r="D1681" t="s">
        <v>153</v>
      </c>
      <c r="E1681" t="s">
        <v>3853</v>
      </c>
      <c r="F1681" t="str">
        <f>"00381960"</f>
        <v>00381960</v>
      </c>
      <c r="G1681" t="s">
        <v>3854</v>
      </c>
      <c r="H1681" t="s">
        <v>1499</v>
      </c>
      <c r="I1681">
        <v>1599</v>
      </c>
      <c r="J1681" t="s">
        <v>21</v>
      </c>
      <c r="K1681">
        <v>0</v>
      </c>
      <c r="M1681">
        <v>1488</v>
      </c>
    </row>
    <row r="1682" spans="1:13">
      <c r="A1682">
        <v>1676</v>
      </c>
      <c r="B1682">
        <v>73694</v>
      </c>
      <c r="C1682" t="s">
        <v>3855</v>
      </c>
      <c r="D1682" t="s">
        <v>209</v>
      </c>
      <c r="E1682" t="s">
        <v>3856</v>
      </c>
      <c r="F1682" t="str">
        <f>"00385736"</f>
        <v>00385736</v>
      </c>
      <c r="G1682" t="s">
        <v>721</v>
      </c>
      <c r="H1682" t="s">
        <v>20</v>
      </c>
      <c r="I1682">
        <v>1575</v>
      </c>
      <c r="J1682" t="s">
        <v>21</v>
      </c>
      <c r="K1682">
        <v>0</v>
      </c>
      <c r="L1682" t="s">
        <v>59</v>
      </c>
      <c r="M1682">
        <v>788</v>
      </c>
    </row>
    <row r="1683" spans="1:13">
      <c r="A1683">
        <v>1677</v>
      </c>
      <c r="B1683">
        <v>88808</v>
      </c>
      <c r="C1683" t="s">
        <v>3857</v>
      </c>
      <c r="D1683" t="s">
        <v>288</v>
      </c>
      <c r="E1683" t="s">
        <v>3858</v>
      </c>
      <c r="F1683" t="str">
        <f>"00392059"</f>
        <v>00392059</v>
      </c>
      <c r="G1683" t="s">
        <v>230</v>
      </c>
      <c r="H1683" t="s">
        <v>20</v>
      </c>
      <c r="I1683">
        <v>1545</v>
      </c>
      <c r="J1683" t="s">
        <v>21</v>
      </c>
      <c r="K1683">
        <v>0</v>
      </c>
      <c r="L1683" t="s">
        <v>2884</v>
      </c>
      <c r="M1683">
        <v>836</v>
      </c>
    </row>
    <row r="1684" spans="1:13">
      <c r="A1684">
        <v>1678</v>
      </c>
      <c r="B1684">
        <v>104241</v>
      </c>
      <c r="C1684" t="s">
        <v>3859</v>
      </c>
      <c r="D1684" t="s">
        <v>205</v>
      </c>
      <c r="E1684" t="s">
        <v>3860</v>
      </c>
      <c r="F1684" t="str">
        <f>"00381522"</f>
        <v>00381522</v>
      </c>
      <c r="G1684" t="s">
        <v>245</v>
      </c>
      <c r="H1684" t="s">
        <v>20</v>
      </c>
      <c r="I1684">
        <v>1406</v>
      </c>
      <c r="J1684" t="s">
        <v>21</v>
      </c>
      <c r="K1684">
        <v>0</v>
      </c>
      <c r="L1684" t="s">
        <v>88</v>
      </c>
      <c r="M1684">
        <v>536</v>
      </c>
    </row>
    <row r="1685" spans="1:13">
      <c r="A1685">
        <v>1679</v>
      </c>
      <c r="B1685">
        <v>116572</v>
      </c>
      <c r="C1685" t="s">
        <v>3861</v>
      </c>
      <c r="D1685" t="s">
        <v>566</v>
      </c>
      <c r="E1685" t="s">
        <v>3862</v>
      </c>
      <c r="F1685" t="str">
        <f>"00416760"</f>
        <v>00416760</v>
      </c>
      <c r="G1685" t="s">
        <v>47</v>
      </c>
      <c r="H1685" t="s">
        <v>48</v>
      </c>
      <c r="I1685">
        <v>1623</v>
      </c>
      <c r="J1685" t="s">
        <v>21</v>
      </c>
      <c r="K1685">
        <v>0</v>
      </c>
      <c r="L1685" t="s">
        <v>88</v>
      </c>
      <c r="M1685">
        <v>550</v>
      </c>
    </row>
    <row r="1686" spans="1:13">
      <c r="A1686">
        <v>1680</v>
      </c>
      <c r="B1686">
        <v>78803</v>
      </c>
      <c r="C1686" t="s">
        <v>3863</v>
      </c>
      <c r="D1686" t="s">
        <v>80</v>
      </c>
      <c r="E1686" t="s">
        <v>3864</v>
      </c>
      <c r="F1686" t="str">
        <f>"00389503"</f>
        <v>00389503</v>
      </c>
      <c r="G1686" t="s">
        <v>2768</v>
      </c>
      <c r="H1686" t="s">
        <v>20</v>
      </c>
      <c r="I1686">
        <v>1409</v>
      </c>
      <c r="J1686" t="s">
        <v>21</v>
      </c>
      <c r="K1686">
        <v>0</v>
      </c>
      <c r="M1686">
        <v>1628</v>
      </c>
    </row>
    <row r="1687" spans="1:13">
      <c r="A1687">
        <v>1681</v>
      </c>
      <c r="B1687">
        <v>74769</v>
      </c>
      <c r="C1687" t="s">
        <v>3865</v>
      </c>
      <c r="D1687" t="s">
        <v>180</v>
      </c>
      <c r="E1687" t="s">
        <v>3866</v>
      </c>
      <c r="F1687" t="str">
        <f>"00279588"</f>
        <v>00279588</v>
      </c>
      <c r="G1687" t="s">
        <v>763</v>
      </c>
      <c r="H1687" t="s">
        <v>20</v>
      </c>
      <c r="I1687">
        <v>1430</v>
      </c>
      <c r="J1687" t="s">
        <v>21</v>
      </c>
      <c r="K1687">
        <v>0</v>
      </c>
      <c r="L1687" t="s">
        <v>35</v>
      </c>
      <c r="M1687">
        <v>1036</v>
      </c>
    </row>
    <row r="1688" spans="1:13">
      <c r="A1688">
        <v>1682</v>
      </c>
      <c r="B1688">
        <v>93485</v>
      </c>
      <c r="C1688" t="s">
        <v>3867</v>
      </c>
      <c r="D1688" t="s">
        <v>80</v>
      </c>
      <c r="E1688" t="s">
        <v>3868</v>
      </c>
      <c r="F1688" t="str">
        <f>"00407419"</f>
        <v>00407419</v>
      </c>
      <c r="G1688" t="s">
        <v>1239</v>
      </c>
      <c r="H1688" t="s">
        <v>1296</v>
      </c>
      <c r="I1688">
        <v>1638</v>
      </c>
      <c r="J1688" t="s">
        <v>21</v>
      </c>
      <c r="K1688">
        <v>0</v>
      </c>
      <c r="M1688">
        <v>1488</v>
      </c>
    </row>
    <row r="1689" spans="1:13">
      <c r="A1689">
        <v>1683</v>
      </c>
      <c r="B1689">
        <v>91618</v>
      </c>
      <c r="C1689" t="s">
        <v>3869</v>
      </c>
      <c r="D1689" t="s">
        <v>80</v>
      </c>
      <c r="E1689" t="s">
        <v>3870</v>
      </c>
      <c r="F1689" t="str">
        <f>"201512000266"</f>
        <v>201512000266</v>
      </c>
      <c r="G1689" t="s">
        <v>465</v>
      </c>
      <c r="H1689" t="s">
        <v>20</v>
      </c>
      <c r="I1689">
        <v>1534</v>
      </c>
      <c r="J1689" t="s">
        <v>21</v>
      </c>
      <c r="K1689">
        <v>0</v>
      </c>
      <c r="L1689" t="s">
        <v>35</v>
      </c>
      <c r="M1689">
        <v>850</v>
      </c>
    </row>
    <row r="1690" spans="1:13">
      <c r="A1690">
        <v>1684</v>
      </c>
      <c r="B1690">
        <v>48173</v>
      </c>
      <c r="C1690" t="s">
        <v>3871</v>
      </c>
      <c r="D1690" t="s">
        <v>180</v>
      </c>
      <c r="E1690" t="s">
        <v>3872</v>
      </c>
      <c r="F1690" t="str">
        <f>"00359880"</f>
        <v>00359880</v>
      </c>
      <c r="G1690" t="s">
        <v>1345</v>
      </c>
      <c r="H1690" t="s">
        <v>137</v>
      </c>
      <c r="I1690">
        <v>1606</v>
      </c>
      <c r="J1690" t="s">
        <v>21</v>
      </c>
      <c r="K1690">
        <v>0</v>
      </c>
      <c r="L1690" t="s">
        <v>83</v>
      </c>
      <c r="M1690">
        <v>1432</v>
      </c>
    </row>
    <row r="1691" spans="1:13">
      <c r="A1691">
        <v>1685</v>
      </c>
      <c r="B1691">
        <v>47603</v>
      </c>
      <c r="C1691" t="s">
        <v>3873</v>
      </c>
      <c r="D1691" t="s">
        <v>80</v>
      </c>
      <c r="E1691" t="s">
        <v>3874</v>
      </c>
      <c r="F1691" t="str">
        <f>"00200761"</f>
        <v>00200761</v>
      </c>
      <c r="G1691" t="s">
        <v>147</v>
      </c>
      <c r="H1691" t="s">
        <v>20</v>
      </c>
      <c r="I1691">
        <v>1529</v>
      </c>
      <c r="J1691" t="s">
        <v>21</v>
      </c>
      <c r="K1691">
        <v>0</v>
      </c>
      <c r="M1691">
        <v>1528</v>
      </c>
    </row>
    <row r="1692" spans="1:13">
      <c r="A1692">
        <v>1686</v>
      </c>
      <c r="B1692">
        <v>50929</v>
      </c>
      <c r="C1692" t="s">
        <v>3875</v>
      </c>
      <c r="D1692" t="s">
        <v>180</v>
      </c>
      <c r="E1692" t="s">
        <v>3876</v>
      </c>
      <c r="F1692" t="str">
        <f>"00371672"</f>
        <v>00371672</v>
      </c>
      <c r="G1692" t="s">
        <v>883</v>
      </c>
      <c r="H1692" t="s">
        <v>270</v>
      </c>
      <c r="I1692">
        <v>1585</v>
      </c>
      <c r="J1692" t="s">
        <v>21</v>
      </c>
      <c r="K1692">
        <v>0</v>
      </c>
      <c r="L1692" t="s">
        <v>35</v>
      </c>
      <c r="M1692">
        <v>933</v>
      </c>
    </row>
    <row r="1693" spans="1:13">
      <c r="A1693">
        <v>1687</v>
      </c>
      <c r="B1693">
        <v>92176</v>
      </c>
      <c r="C1693" t="s">
        <v>3877</v>
      </c>
      <c r="D1693" t="s">
        <v>102</v>
      </c>
      <c r="E1693" t="s">
        <v>3878</v>
      </c>
      <c r="F1693" t="str">
        <f>"00407739"</f>
        <v>00407739</v>
      </c>
      <c r="G1693" t="s">
        <v>258</v>
      </c>
      <c r="H1693" t="s">
        <v>20</v>
      </c>
      <c r="I1693">
        <v>1484</v>
      </c>
      <c r="J1693" t="s">
        <v>21</v>
      </c>
      <c r="K1693">
        <v>0</v>
      </c>
      <c r="M1693">
        <v>1288</v>
      </c>
    </row>
    <row r="1694" spans="1:13">
      <c r="A1694">
        <v>1688</v>
      </c>
      <c r="B1694">
        <v>54972</v>
      </c>
      <c r="C1694" t="s">
        <v>3879</v>
      </c>
      <c r="D1694" t="s">
        <v>3880</v>
      </c>
      <c r="E1694" t="s">
        <v>3881</v>
      </c>
      <c r="F1694" t="str">
        <f>"00163166"</f>
        <v>00163166</v>
      </c>
      <c r="G1694" t="s">
        <v>593</v>
      </c>
      <c r="H1694" t="s">
        <v>20</v>
      </c>
      <c r="I1694">
        <v>1444</v>
      </c>
      <c r="J1694" t="s">
        <v>21</v>
      </c>
      <c r="K1694">
        <v>0</v>
      </c>
      <c r="M1694">
        <v>1688</v>
      </c>
    </row>
    <row r="1695" spans="1:13">
      <c r="A1695">
        <v>1689</v>
      </c>
      <c r="B1695">
        <v>79974</v>
      </c>
      <c r="C1695" t="s">
        <v>3882</v>
      </c>
      <c r="D1695" t="s">
        <v>180</v>
      </c>
      <c r="E1695" t="s">
        <v>3883</v>
      </c>
      <c r="F1695" t="str">
        <f>"00393290"</f>
        <v>00393290</v>
      </c>
      <c r="G1695" t="s">
        <v>70</v>
      </c>
      <c r="H1695" t="s">
        <v>71</v>
      </c>
      <c r="I1695">
        <v>1702</v>
      </c>
      <c r="J1695" t="s">
        <v>21</v>
      </c>
      <c r="K1695">
        <v>0</v>
      </c>
      <c r="L1695" t="s">
        <v>35</v>
      </c>
      <c r="M1695">
        <v>1008</v>
      </c>
    </row>
    <row r="1696" spans="1:13">
      <c r="A1696">
        <v>1690</v>
      </c>
      <c r="B1696">
        <v>99771</v>
      </c>
      <c r="C1696" t="s">
        <v>3884</v>
      </c>
      <c r="D1696" t="s">
        <v>76</v>
      </c>
      <c r="E1696" t="s">
        <v>3885</v>
      </c>
      <c r="F1696" t="str">
        <f>"00252634"</f>
        <v>00252634</v>
      </c>
      <c r="G1696" t="s">
        <v>405</v>
      </c>
      <c r="H1696" t="s">
        <v>20</v>
      </c>
      <c r="I1696">
        <v>1448</v>
      </c>
      <c r="J1696" t="s">
        <v>21</v>
      </c>
      <c r="K1696">
        <v>6</v>
      </c>
      <c r="M1696">
        <v>1388</v>
      </c>
    </row>
    <row r="1697" spans="1:13">
      <c r="A1697">
        <v>1691</v>
      </c>
      <c r="B1697">
        <v>65967</v>
      </c>
      <c r="C1697" t="s">
        <v>3886</v>
      </c>
      <c r="D1697" t="s">
        <v>80</v>
      </c>
      <c r="E1697" t="s">
        <v>3887</v>
      </c>
      <c r="F1697" t="str">
        <f>"00385265"</f>
        <v>00385265</v>
      </c>
      <c r="G1697" t="s">
        <v>3888</v>
      </c>
      <c r="H1697" t="s">
        <v>1610</v>
      </c>
      <c r="I1697">
        <v>1306</v>
      </c>
      <c r="J1697" t="s">
        <v>21</v>
      </c>
      <c r="K1697">
        <v>0</v>
      </c>
      <c r="L1697" t="s">
        <v>35</v>
      </c>
      <c r="M1697">
        <v>1108</v>
      </c>
    </row>
    <row r="1698" spans="1:13">
      <c r="A1698">
        <v>1692</v>
      </c>
      <c r="B1698">
        <v>112908</v>
      </c>
      <c r="C1698" t="s">
        <v>3889</v>
      </c>
      <c r="D1698" t="s">
        <v>566</v>
      </c>
      <c r="E1698" t="s">
        <v>3890</v>
      </c>
      <c r="F1698" t="str">
        <f>"00185604"</f>
        <v>00185604</v>
      </c>
      <c r="G1698" t="s">
        <v>488</v>
      </c>
      <c r="H1698" t="s">
        <v>20</v>
      </c>
      <c r="I1698">
        <v>1482</v>
      </c>
      <c r="J1698" t="s">
        <v>21</v>
      </c>
      <c r="K1698">
        <v>0</v>
      </c>
      <c r="L1698" t="s">
        <v>35</v>
      </c>
      <c r="M1698">
        <v>950</v>
      </c>
    </row>
    <row r="1699" spans="1:13">
      <c r="A1699">
        <v>1693</v>
      </c>
      <c r="B1699">
        <v>106764</v>
      </c>
      <c r="C1699" t="s">
        <v>3891</v>
      </c>
      <c r="D1699" t="s">
        <v>76</v>
      </c>
      <c r="E1699" t="s">
        <v>3892</v>
      </c>
      <c r="F1699" t="str">
        <f>"00379007"</f>
        <v>00379007</v>
      </c>
      <c r="G1699" t="s">
        <v>111</v>
      </c>
      <c r="H1699" t="s">
        <v>48</v>
      </c>
      <c r="I1699">
        <v>1620</v>
      </c>
      <c r="J1699" t="s">
        <v>21</v>
      </c>
      <c r="K1699">
        <v>0</v>
      </c>
      <c r="L1699" t="s">
        <v>35</v>
      </c>
      <c r="M1699">
        <v>908</v>
      </c>
    </row>
    <row r="1700" spans="1:13">
      <c r="A1700">
        <v>1694</v>
      </c>
      <c r="B1700">
        <v>66878</v>
      </c>
      <c r="C1700" t="s">
        <v>3893</v>
      </c>
      <c r="D1700" t="s">
        <v>80</v>
      </c>
      <c r="E1700" t="s">
        <v>3894</v>
      </c>
      <c r="F1700" t="str">
        <f>"00377258"</f>
        <v>00377258</v>
      </c>
      <c r="G1700" t="s">
        <v>488</v>
      </c>
      <c r="H1700" t="s">
        <v>20</v>
      </c>
      <c r="I1700">
        <v>1482</v>
      </c>
      <c r="J1700" t="s">
        <v>21</v>
      </c>
      <c r="K1700">
        <v>0</v>
      </c>
      <c r="M1700">
        <v>1292</v>
      </c>
    </row>
    <row r="1701" spans="1:13">
      <c r="A1701">
        <v>1695</v>
      </c>
      <c r="B1701">
        <v>82781</v>
      </c>
      <c r="C1701" t="s">
        <v>3895</v>
      </c>
      <c r="D1701" t="s">
        <v>80</v>
      </c>
      <c r="E1701" t="s">
        <v>3896</v>
      </c>
      <c r="F1701" t="str">
        <f>"00387199"</f>
        <v>00387199</v>
      </c>
      <c r="G1701" t="s">
        <v>892</v>
      </c>
      <c r="H1701" t="s">
        <v>20</v>
      </c>
      <c r="I1701">
        <v>1410</v>
      </c>
      <c r="J1701" t="s">
        <v>21</v>
      </c>
      <c r="K1701">
        <v>0</v>
      </c>
      <c r="L1701" t="s">
        <v>88</v>
      </c>
      <c r="M1701">
        <v>758</v>
      </c>
    </row>
    <row r="1702" spans="1:13">
      <c r="A1702">
        <v>1696</v>
      </c>
      <c r="B1702">
        <v>55046</v>
      </c>
      <c r="C1702" t="s">
        <v>3897</v>
      </c>
      <c r="D1702" t="s">
        <v>130</v>
      </c>
      <c r="E1702" t="s">
        <v>3898</v>
      </c>
      <c r="F1702" t="str">
        <f>"00193388"</f>
        <v>00193388</v>
      </c>
      <c r="G1702" t="s">
        <v>610</v>
      </c>
      <c r="H1702" t="s">
        <v>20</v>
      </c>
      <c r="I1702">
        <v>1429</v>
      </c>
      <c r="J1702" t="s">
        <v>21</v>
      </c>
      <c r="K1702">
        <v>0</v>
      </c>
      <c r="M1702">
        <v>1588</v>
      </c>
    </row>
    <row r="1703" spans="1:13">
      <c r="A1703">
        <v>1697</v>
      </c>
      <c r="B1703">
        <v>86383</v>
      </c>
      <c r="C1703" t="s">
        <v>3899</v>
      </c>
      <c r="D1703" t="s">
        <v>102</v>
      </c>
      <c r="E1703" t="s">
        <v>3900</v>
      </c>
      <c r="F1703" t="str">
        <f>"200802008203"</f>
        <v>200802008203</v>
      </c>
      <c r="G1703" t="s">
        <v>856</v>
      </c>
      <c r="H1703" t="s">
        <v>366</v>
      </c>
      <c r="I1703">
        <v>1706</v>
      </c>
      <c r="J1703" t="s">
        <v>21</v>
      </c>
      <c r="K1703">
        <v>0</v>
      </c>
      <c r="L1703" t="s">
        <v>112</v>
      </c>
      <c r="M1703">
        <v>808</v>
      </c>
    </row>
    <row r="1704" spans="1:13">
      <c r="A1704">
        <v>1698</v>
      </c>
      <c r="B1704">
        <v>87105</v>
      </c>
      <c r="C1704" t="s">
        <v>3901</v>
      </c>
      <c r="D1704" t="s">
        <v>3902</v>
      </c>
      <c r="E1704" t="s">
        <v>3903</v>
      </c>
      <c r="F1704" t="str">
        <f>"00415458"</f>
        <v>00415458</v>
      </c>
      <c r="G1704" t="s">
        <v>307</v>
      </c>
      <c r="H1704" t="s">
        <v>326</v>
      </c>
      <c r="I1704">
        <v>1594</v>
      </c>
      <c r="J1704" t="s">
        <v>21</v>
      </c>
      <c r="K1704">
        <v>0</v>
      </c>
      <c r="M1704">
        <v>1288</v>
      </c>
    </row>
    <row r="1705" spans="1:13">
      <c r="A1705">
        <v>1699</v>
      </c>
      <c r="B1705">
        <v>57673</v>
      </c>
      <c r="C1705" t="s">
        <v>3904</v>
      </c>
      <c r="D1705" t="s">
        <v>3905</v>
      </c>
      <c r="E1705" t="s">
        <v>3906</v>
      </c>
      <c r="F1705" t="str">
        <f>"00272210"</f>
        <v>00272210</v>
      </c>
      <c r="G1705" t="s">
        <v>107</v>
      </c>
      <c r="H1705" t="s">
        <v>20</v>
      </c>
      <c r="I1705">
        <v>1472</v>
      </c>
      <c r="J1705" t="s">
        <v>21</v>
      </c>
      <c r="K1705">
        <v>0</v>
      </c>
      <c r="M1705">
        <v>1397</v>
      </c>
    </row>
    <row r="1706" spans="1:13">
      <c r="A1706">
        <v>1700</v>
      </c>
      <c r="B1706">
        <v>67222</v>
      </c>
      <c r="C1706" t="s">
        <v>3907</v>
      </c>
      <c r="D1706" t="s">
        <v>76</v>
      </c>
      <c r="E1706" t="s">
        <v>3908</v>
      </c>
      <c r="F1706" t="str">
        <f>"00049940"</f>
        <v>00049940</v>
      </c>
      <c r="G1706" t="s">
        <v>352</v>
      </c>
      <c r="H1706" t="s">
        <v>20</v>
      </c>
      <c r="I1706">
        <v>1471</v>
      </c>
      <c r="J1706" t="s">
        <v>21</v>
      </c>
      <c r="K1706">
        <v>0</v>
      </c>
      <c r="M1706">
        <v>1382</v>
      </c>
    </row>
    <row r="1707" spans="1:13">
      <c r="A1707">
        <v>1701</v>
      </c>
      <c r="B1707">
        <v>101769</v>
      </c>
      <c r="C1707" t="s">
        <v>3909</v>
      </c>
      <c r="D1707" t="s">
        <v>180</v>
      </c>
      <c r="E1707" t="s">
        <v>3910</v>
      </c>
      <c r="F1707" t="str">
        <f>"00372075"</f>
        <v>00372075</v>
      </c>
      <c r="G1707" t="s">
        <v>107</v>
      </c>
      <c r="H1707" t="s">
        <v>20</v>
      </c>
      <c r="I1707">
        <v>1472</v>
      </c>
      <c r="J1707" t="s">
        <v>21</v>
      </c>
      <c r="K1707">
        <v>0</v>
      </c>
      <c r="L1707" t="s">
        <v>35</v>
      </c>
      <c r="M1707">
        <v>908</v>
      </c>
    </row>
    <row r="1708" spans="1:13">
      <c r="A1708">
        <v>1702</v>
      </c>
      <c r="B1708">
        <v>74603</v>
      </c>
      <c r="C1708" t="s">
        <v>3911</v>
      </c>
      <c r="D1708" t="s">
        <v>243</v>
      </c>
      <c r="E1708" t="s">
        <v>3912</v>
      </c>
      <c r="F1708" t="str">
        <f>"201511014506"</f>
        <v>201511014506</v>
      </c>
      <c r="G1708" t="s">
        <v>107</v>
      </c>
      <c r="H1708" t="s">
        <v>20</v>
      </c>
      <c r="I1708">
        <v>1472</v>
      </c>
      <c r="J1708" t="s">
        <v>21</v>
      </c>
      <c r="K1708">
        <v>0</v>
      </c>
      <c r="L1708" t="s">
        <v>35</v>
      </c>
      <c r="M1708">
        <v>1000</v>
      </c>
    </row>
    <row r="1709" spans="1:13">
      <c r="A1709">
        <v>1703</v>
      </c>
      <c r="B1709">
        <v>89674</v>
      </c>
      <c r="C1709" t="s">
        <v>3913</v>
      </c>
      <c r="D1709" t="s">
        <v>180</v>
      </c>
      <c r="E1709" t="s">
        <v>3914</v>
      </c>
      <c r="F1709" t="str">
        <f>"00206002"</f>
        <v>00206002</v>
      </c>
      <c r="G1709" t="s">
        <v>465</v>
      </c>
      <c r="H1709" t="s">
        <v>20</v>
      </c>
      <c r="I1709">
        <v>1534</v>
      </c>
      <c r="J1709" t="s">
        <v>21</v>
      </c>
      <c r="K1709">
        <v>0</v>
      </c>
      <c r="M1709">
        <v>1313</v>
      </c>
    </row>
    <row r="1710" spans="1:13">
      <c r="A1710">
        <v>1704</v>
      </c>
      <c r="B1710">
        <v>88507</v>
      </c>
      <c r="C1710" t="s">
        <v>3915</v>
      </c>
      <c r="D1710" t="s">
        <v>249</v>
      </c>
      <c r="E1710" t="s">
        <v>3916</v>
      </c>
      <c r="F1710" t="str">
        <f>"00422585"</f>
        <v>00422585</v>
      </c>
      <c r="G1710" t="s">
        <v>2646</v>
      </c>
      <c r="H1710" t="s">
        <v>2647</v>
      </c>
      <c r="I1710">
        <v>1686</v>
      </c>
      <c r="J1710" t="s">
        <v>21</v>
      </c>
      <c r="K1710">
        <v>0</v>
      </c>
      <c r="L1710" t="s">
        <v>35</v>
      </c>
      <c r="M1710">
        <v>1021</v>
      </c>
    </row>
    <row r="1711" spans="1:13">
      <c r="A1711">
        <v>1705</v>
      </c>
      <c r="B1711">
        <v>98701</v>
      </c>
      <c r="C1711" t="s">
        <v>3917</v>
      </c>
      <c r="D1711" t="s">
        <v>105</v>
      </c>
      <c r="E1711" t="s">
        <v>3918</v>
      </c>
      <c r="F1711" t="str">
        <f>"00386782"</f>
        <v>00386782</v>
      </c>
      <c r="G1711" t="s">
        <v>2518</v>
      </c>
      <c r="H1711" t="s">
        <v>366</v>
      </c>
      <c r="I1711">
        <v>1705</v>
      </c>
      <c r="J1711" t="s">
        <v>21</v>
      </c>
      <c r="K1711">
        <v>0</v>
      </c>
      <c r="M1711">
        <v>1548</v>
      </c>
    </row>
    <row r="1712" spans="1:13">
      <c r="A1712">
        <v>1706</v>
      </c>
      <c r="B1712">
        <v>100741</v>
      </c>
      <c r="C1712" t="s">
        <v>3919</v>
      </c>
      <c r="D1712" t="s">
        <v>109</v>
      </c>
      <c r="E1712" t="s">
        <v>3920</v>
      </c>
      <c r="F1712" t="str">
        <f>"00397074"</f>
        <v>00397074</v>
      </c>
      <c r="G1712" t="s">
        <v>387</v>
      </c>
      <c r="H1712" t="s">
        <v>234</v>
      </c>
      <c r="I1712">
        <v>1340</v>
      </c>
      <c r="J1712" t="s">
        <v>21</v>
      </c>
      <c r="K1712">
        <v>0</v>
      </c>
      <c r="L1712" t="s">
        <v>35</v>
      </c>
      <c r="M1712">
        <v>1308</v>
      </c>
    </row>
    <row r="1713" spans="1:13">
      <c r="A1713">
        <v>1707</v>
      </c>
      <c r="B1713">
        <v>54937</v>
      </c>
      <c r="C1713" t="s">
        <v>3921</v>
      </c>
      <c r="D1713" t="s">
        <v>391</v>
      </c>
      <c r="E1713" t="s">
        <v>3922</v>
      </c>
      <c r="F1713" t="str">
        <f>"00258134"</f>
        <v>00258134</v>
      </c>
      <c r="G1713" t="s">
        <v>358</v>
      </c>
      <c r="H1713" t="s">
        <v>20</v>
      </c>
      <c r="I1713">
        <v>1549</v>
      </c>
      <c r="J1713" t="s">
        <v>21</v>
      </c>
      <c r="K1713">
        <v>0</v>
      </c>
      <c r="M1713">
        <v>1428</v>
      </c>
    </row>
    <row r="1714" spans="1:13">
      <c r="A1714">
        <v>1708</v>
      </c>
      <c r="B1714">
        <v>97678</v>
      </c>
      <c r="C1714" t="s">
        <v>3923</v>
      </c>
      <c r="D1714" t="s">
        <v>105</v>
      </c>
      <c r="E1714" t="s">
        <v>3924</v>
      </c>
      <c r="F1714" t="str">
        <f>"00374052"</f>
        <v>00374052</v>
      </c>
      <c r="G1714" t="s">
        <v>540</v>
      </c>
      <c r="H1714" t="s">
        <v>20</v>
      </c>
      <c r="I1714">
        <v>1435</v>
      </c>
      <c r="J1714" t="s">
        <v>21</v>
      </c>
      <c r="K1714">
        <v>0</v>
      </c>
      <c r="L1714" t="s">
        <v>35</v>
      </c>
      <c r="M1714">
        <v>858</v>
      </c>
    </row>
    <row r="1715" spans="1:13">
      <c r="A1715">
        <v>1709</v>
      </c>
      <c r="B1715">
        <v>102067</v>
      </c>
      <c r="C1715" t="s">
        <v>3925</v>
      </c>
      <c r="D1715" t="s">
        <v>105</v>
      </c>
      <c r="E1715" t="s">
        <v>3926</v>
      </c>
      <c r="F1715" t="str">
        <f>"00374031"</f>
        <v>00374031</v>
      </c>
      <c r="G1715" t="s">
        <v>170</v>
      </c>
      <c r="H1715" t="s">
        <v>20</v>
      </c>
      <c r="I1715">
        <v>1412</v>
      </c>
      <c r="J1715" t="s">
        <v>21</v>
      </c>
      <c r="K1715">
        <v>0</v>
      </c>
      <c r="L1715" t="s">
        <v>35</v>
      </c>
      <c r="M1715">
        <v>900</v>
      </c>
    </row>
    <row r="1716" spans="1:13">
      <c r="A1716">
        <v>1710</v>
      </c>
      <c r="B1716">
        <v>84818</v>
      </c>
      <c r="C1716" t="s">
        <v>3927</v>
      </c>
      <c r="D1716" t="s">
        <v>76</v>
      </c>
      <c r="E1716" t="s">
        <v>3928</v>
      </c>
      <c r="F1716" t="str">
        <f>"00058655"</f>
        <v>00058655</v>
      </c>
      <c r="G1716" t="s">
        <v>170</v>
      </c>
      <c r="H1716" t="s">
        <v>20</v>
      </c>
      <c r="I1716">
        <v>1412</v>
      </c>
      <c r="J1716" t="s">
        <v>21</v>
      </c>
      <c r="K1716">
        <v>0</v>
      </c>
      <c r="L1716" t="s">
        <v>35</v>
      </c>
      <c r="M1716">
        <v>900</v>
      </c>
    </row>
    <row r="1717" spans="1:13">
      <c r="A1717">
        <v>1711</v>
      </c>
      <c r="B1717">
        <v>63521</v>
      </c>
      <c r="C1717" t="s">
        <v>3929</v>
      </c>
      <c r="D1717" t="s">
        <v>566</v>
      </c>
      <c r="E1717" t="s">
        <v>3930</v>
      </c>
      <c r="F1717" t="str">
        <f>"00351608"</f>
        <v>00351608</v>
      </c>
      <c r="G1717" t="s">
        <v>1830</v>
      </c>
      <c r="H1717" t="s">
        <v>137</v>
      </c>
      <c r="I1717">
        <v>1609</v>
      </c>
      <c r="J1717" t="s">
        <v>21</v>
      </c>
      <c r="K1717">
        <v>0</v>
      </c>
      <c r="L1717" t="s">
        <v>35</v>
      </c>
      <c r="M1717">
        <v>1004</v>
      </c>
    </row>
    <row r="1718" spans="1:13">
      <c r="A1718">
        <v>1712</v>
      </c>
      <c r="B1718">
        <v>50798</v>
      </c>
      <c r="C1718" t="s">
        <v>3931</v>
      </c>
      <c r="D1718" t="s">
        <v>109</v>
      </c>
      <c r="E1718" t="s">
        <v>3932</v>
      </c>
      <c r="F1718" t="str">
        <f>"00350381"</f>
        <v>00350381</v>
      </c>
      <c r="G1718" t="s">
        <v>365</v>
      </c>
      <c r="H1718" t="s">
        <v>366</v>
      </c>
      <c r="I1718">
        <v>1692</v>
      </c>
      <c r="J1718" t="s">
        <v>21</v>
      </c>
      <c r="K1718">
        <v>0</v>
      </c>
      <c r="M1718">
        <v>1388</v>
      </c>
    </row>
    <row r="1719" spans="1:13">
      <c r="A1719">
        <v>1713</v>
      </c>
      <c r="B1719">
        <v>76588</v>
      </c>
      <c r="C1719" t="s">
        <v>3933</v>
      </c>
      <c r="D1719" t="s">
        <v>1492</v>
      </c>
      <c r="E1719" t="s">
        <v>3934</v>
      </c>
      <c r="F1719" t="str">
        <f>"00415177"</f>
        <v>00415177</v>
      </c>
      <c r="G1719" t="s">
        <v>520</v>
      </c>
      <c r="H1719" t="s">
        <v>20</v>
      </c>
      <c r="I1719">
        <v>1540</v>
      </c>
      <c r="J1719" t="s">
        <v>21</v>
      </c>
      <c r="K1719">
        <v>0</v>
      </c>
      <c r="L1719" t="s">
        <v>59</v>
      </c>
      <c r="M1719">
        <v>1268</v>
      </c>
    </row>
    <row r="1720" spans="1:13">
      <c r="A1720">
        <v>1714</v>
      </c>
      <c r="B1720">
        <v>85944</v>
      </c>
      <c r="C1720" t="s">
        <v>3935</v>
      </c>
      <c r="D1720" t="s">
        <v>243</v>
      </c>
      <c r="E1720" t="s">
        <v>3936</v>
      </c>
      <c r="F1720" t="str">
        <f>"201512001346"</f>
        <v>201512001346</v>
      </c>
      <c r="G1720" t="s">
        <v>107</v>
      </c>
      <c r="H1720" t="s">
        <v>20</v>
      </c>
      <c r="I1720">
        <v>1472</v>
      </c>
      <c r="J1720" t="s">
        <v>21</v>
      </c>
      <c r="K1720">
        <v>0</v>
      </c>
      <c r="M1720">
        <v>1468</v>
      </c>
    </row>
    <row r="1721" spans="1:13">
      <c r="A1721">
        <v>1715</v>
      </c>
      <c r="B1721">
        <v>100090</v>
      </c>
      <c r="C1721" t="s">
        <v>3937</v>
      </c>
      <c r="D1721" t="s">
        <v>105</v>
      </c>
      <c r="E1721" t="s">
        <v>3938</v>
      </c>
      <c r="F1721" t="str">
        <f>"00387098"</f>
        <v>00387098</v>
      </c>
      <c r="G1721" t="s">
        <v>200</v>
      </c>
      <c r="H1721" t="s">
        <v>20</v>
      </c>
      <c r="I1721">
        <v>1492</v>
      </c>
      <c r="J1721" t="s">
        <v>21</v>
      </c>
      <c r="K1721">
        <v>0</v>
      </c>
      <c r="M1721">
        <v>1728</v>
      </c>
    </row>
    <row r="1722" spans="1:13">
      <c r="A1722">
        <v>1716</v>
      </c>
      <c r="B1722">
        <v>64881</v>
      </c>
      <c r="C1722" t="s">
        <v>3939</v>
      </c>
      <c r="D1722" t="s">
        <v>3940</v>
      </c>
      <c r="E1722" t="s">
        <v>3941</v>
      </c>
      <c r="F1722" t="str">
        <f>"00311207"</f>
        <v>00311207</v>
      </c>
      <c r="G1722" t="s">
        <v>737</v>
      </c>
      <c r="H1722" t="s">
        <v>3942</v>
      </c>
      <c r="I1722">
        <v>1370</v>
      </c>
      <c r="J1722" t="s">
        <v>21</v>
      </c>
      <c r="K1722">
        <v>6</v>
      </c>
      <c r="M1722">
        <v>1088</v>
      </c>
    </row>
    <row r="1723" spans="1:13">
      <c r="A1723">
        <v>1717</v>
      </c>
      <c r="B1723">
        <v>55112</v>
      </c>
      <c r="C1723" t="s">
        <v>3943</v>
      </c>
      <c r="D1723" t="s">
        <v>130</v>
      </c>
      <c r="E1723" t="s">
        <v>3944</v>
      </c>
      <c r="F1723" t="str">
        <f>"00284900"</f>
        <v>00284900</v>
      </c>
      <c r="G1723" t="s">
        <v>3945</v>
      </c>
      <c r="H1723" t="s">
        <v>3946</v>
      </c>
      <c r="I1723">
        <v>1680</v>
      </c>
      <c r="J1723" t="s">
        <v>21</v>
      </c>
      <c r="K1723">
        <v>6</v>
      </c>
      <c r="M1723">
        <v>1278</v>
      </c>
    </row>
    <row r="1724" spans="1:13">
      <c r="A1724">
        <v>1718</v>
      </c>
      <c r="B1724">
        <v>93675</v>
      </c>
      <c r="C1724" t="s">
        <v>3947</v>
      </c>
      <c r="D1724" t="s">
        <v>102</v>
      </c>
      <c r="E1724" t="s">
        <v>3948</v>
      </c>
      <c r="F1724" t="str">
        <f>"00402501"</f>
        <v>00402501</v>
      </c>
      <c r="G1724" t="s">
        <v>1842</v>
      </c>
      <c r="H1724" t="s">
        <v>1843</v>
      </c>
      <c r="I1724">
        <v>1356</v>
      </c>
      <c r="J1724" t="s">
        <v>21</v>
      </c>
      <c r="K1724">
        <v>0</v>
      </c>
      <c r="L1724" t="s">
        <v>35</v>
      </c>
      <c r="M1724">
        <v>1270</v>
      </c>
    </row>
    <row r="1725" spans="1:13">
      <c r="A1725">
        <v>1719</v>
      </c>
      <c r="B1725">
        <v>63687</v>
      </c>
      <c r="C1725" t="s">
        <v>3949</v>
      </c>
      <c r="D1725" t="s">
        <v>90</v>
      </c>
      <c r="E1725" t="s">
        <v>3950</v>
      </c>
      <c r="F1725" t="str">
        <f>"00340104"</f>
        <v>00340104</v>
      </c>
      <c r="G1725" t="s">
        <v>47</v>
      </c>
      <c r="H1725" t="s">
        <v>48</v>
      </c>
      <c r="I1725">
        <v>1623</v>
      </c>
      <c r="J1725" t="s">
        <v>21</v>
      </c>
      <c r="K1725">
        <v>0</v>
      </c>
      <c r="M1725">
        <v>1439</v>
      </c>
    </row>
    <row r="1726" spans="1:13">
      <c r="A1726">
        <v>1720</v>
      </c>
      <c r="B1726">
        <v>114526</v>
      </c>
      <c r="C1726" t="s">
        <v>3951</v>
      </c>
      <c r="D1726" t="s">
        <v>180</v>
      </c>
      <c r="E1726" t="s">
        <v>3952</v>
      </c>
      <c r="F1726" t="str">
        <f>"00418045"</f>
        <v>00418045</v>
      </c>
      <c r="G1726" t="s">
        <v>488</v>
      </c>
      <c r="H1726" t="s">
        <v>20</v>
      </c>
      <c r="I1726">
        <v>1482</v>
      </c>
      <c r="J1726" t="s">
        <v>21</v>
      </c>
      <c r="K1726">
        <v>0</v>
      </c>
      <c r="L1726" t="s">
        <v>59</v>
      </c>
      <c r="M1726">
        <v>808</v>
      </c>
    </row>
    <row r="1727" spans="1:13">
      <c r="A1727">
        <v>1721</v>
      </c>
      <c r="B1727">
        <v>62684</v>
      </c>
      <c r="C1727" t="s">
        <v>3953</v>
      </c>
      <c r="D1727" t="s">
        <v>76</v>
      </c>
      <c r="E1727" t="s">
        <v>3954</v>
      </c>
      <c r="F1727" t="str">
        <f>"00017419"</f>
        <v>00017419</v>
      </c>
      <c r="G1727" t="s">
        <v>92</v>
      </c>
      <c r="H1727" t="s">
        <v>20</v>
      </c>
      <c r="I1727">
        <v>1425</v>
      </c>
      <c r="J1727" t="s">
        <v>21</v>
      </c>
      <c r="K1727">
        <v>0</v>
      </c>
      <c r="L1727" t="s">
        <v>59</v>
      </c>
      <c r="M1727">
        <v>1338</v>
      </c>
    </row>
    <row r="1728" spans="1:13">
      <c r="A1728">
        <v>1722</v>
      </c>
      <c r="B1728">
        <v>87233</v>
      </c>
      <c r="C1728" t="s">
        <v>3955</v>
      </c>
      <c r="D1728" t="s">
        <v>1489</v>
      </c>
      <c r="E1728" t="s">
        <v>3956</v>
      </c>
      <c r="F1728" t="str">
        <f>"00398494"</f>
        <v>00398494</v>
      </c>
      <c r="G1728" t="s">
        <v>230</v>
      </c>
      <c r="H1728" t="s">
        <v>20</v>
      </c>
      <c r="I1728">
        <v>1545</v>
      </c>
      <c r="J1728" t="s">
        <v>21</v>
      </c>
      <c r="K1728">
        <v>0</v>
      </c>
      <c r="L1728" t="s">
        <v>88</v>
      </c>
      <c r="M1728">
        <v>758</v>
      </c>
    </row>
    <row r="1729" spans="1:13">
      <c r="A1729">
        <v>1723</v>
      </c>
      <c r="B1729">
        <v>111859</v>
      </c>
      <c r="C1729" t="s">
        <v>3957</v>
      </c>
      <c r="D1729" t="s">
        <v>811</v>
      </c>
      <c r="E1729" t="s">
        <v>3958</v>
      </c>
      <c r="F1729" t="str">
        <f>"00417107"</f>
        <v>00417107</v>
      </c>
      <c r="G1729" t="s">
        <v>341</v>
      </c>
      <c r="H1729" t="s">
        <v>20</v>
      </c>
      <c r="I1729">
        <v>1553</v>
      </c>
      <c r="J1729" t="s">
        <v>21</v>
      </c>
      <c r="K1729">
        <v>6</v>
      </c>
      <c r="M1729">
        <v>1288</v>
      </c>
    </row>
    <row r="1730" spans="1:13">
      <c r="A1730">
        <v>1724</v>
      </c>
      <c r="B1730">
        <v>74767</v>
      </c>
      <c r="C1730" t="s">
        <v>3959</v>
      </c>
      <c r="D1730" t="s">
        <v>180</v>
      </c>
      <c r="E1730" t="s">
        <v>3960</v>
      </c>
      <c r="F1730" t="str">
        <f>"00382855"</f>
        <v>00382855</v>
      </c>
      <c r="G1730" t="s">
        <v>47</v>
      </c>
      <c r="H1730" t="s">
        <v>48</v>
      </c>
      <c r="I1730">
        <v>1623</v>
      </c>
      <c r="J1730" t="s">
        <v>21</v>
      </c>
      <c r="K1730">
        <v>0</v>
      </c>
      <c r="L1730" t="s">
        <v>35</v>
      </c>
      <c r="M1730">
        <v>858</v>
      </c>
    </row>
    <row r="1731" spans="1:13">
      <c r="A1731">
        <v>1725</v>
      </c>
      <c r="B1731">
        <v>101353</v>
      </c>
      <c r="C1731" t="s">
        <v>3961</v>
      </c>
      <c r="D1731" t="s">
        <v>180</v>
      </c>
      <c r="E1731" t="s">
        <v>3962</v>
      </c>
      <c r="F1731" t="str">
        <f>"00249160"</f>
        <v>00249160</v>
      </c>
      <c r="G1731" t="s">
        <v>892</v>
      </c>
      <c r="H1731" t="s">
        <v>20</v>
      </c>
      <c r="I1731">
        <v>1410</v>
      </c>
      <c r="J1731" t="s">
        <v>21</v>
      </c>
      <c r="K1731">
        <v>0</v>
      </c>
      <c r="L1731" t="s">
        <v>35</v>
      </c>
      <c r="M1731">
        <v>978</v>
      </c>
    </row>
    <row r="1732" spans="1:13">
      <c r="A1732">
        <v>1726</v>
      </c>
      <c r="B1732">
        <v>47704</v>
      </c>
      <c r="C1732" t="s">
        <v>3963</v>
      </c>
      <c r="D1732" t="s">
        <v>76</v>
      </c>
      <c r="E1732" t="s">
        <v>3964</v>
      </c>
      <c r="F1732" t="str">
        <f>"00319126"</f>
        <v>00319126</v>
      </c>
      <c r="G1732" t="s">
        <v>341</v>
      </c>
      <c r="H1732" t="s">
        <v>1296</v>
      </c>
      <c r="I1732">
        <v>1639</v>
      </c>
      <c r="J1732" t="s">
        <v>21</v>
      </c>
      <c r="K1732">
        <v>6</v>
      </c>
      <c r="L1732" t="s">
        <v>35</v>
      </c>
      <c r="M1732">
        <v>808</v>
      </c>
    </row>
    <row r="1733" spans="1:13">
      <c r="A1733">
        <v>1727</v>
      </c>
      <c r="B1733">
        <v>53966</v>
      </c>
      <c r="C1733" t="s">
        <v>3965</v>
      </c>
      <c r="D1733" t="s">
        <v>180</v>
      </c>
      <c r="E1733" t="s">
        <v>3966</v>
      </c>
      <c r="F1733" t="str">
        <f>"00260897"</f>
        <v>00260897</v>
      </c>
      <c r="G1733" t="s">
        <v>540</v>
      </c>
      <c r="H1733" t="s">
        <v>20</v>
      </c>
      <c r="I1733">
        <v>1435</v>
      </c>
      <c r="J1733" t="s">
        <v>21</v>
      </c>
      <c r="K1733">
        <v>0</v>
      </c>
      <c r="L1733" t="s">
        <v>35</v>
      </c>
      <c r="M1733">
        <v>858</v>
      </c>
    </row>
    <row r="1734" spans="1:13">
      <c r="A1734">
        <v>1728</v>
      </c>
      <c r="B1734">
        <v>55185</v>
      </c>
      <c r="C1734" t="s">
        <v>3967</v>
      </c>
      <c r="D1734" t="s">
        <v>391</v>
      </c>
      <c r="E1734" t="s">
        <v>3968</v>
      </c>
      <c r="F1734" t="str">
        <f>"00361250"</f>
        <v>00361250</v>
      </c>
      <c r="G1734" t="s">
        <v>3969</v>
      </c>
      <c r="H1734" t="s">
        <v>20</v>
      </c>
      <c r="I1734">
        <v>1517</v>
      </c>
      <c r="J1734" t="s">
        <v>21</v>
      </c>
      <c r="K1734">
        <v>0</v>
      </c>
      <c r="L1734" t="s">
        <v>35</v>
      </c>
      <c r="M1734">
        <v>1058</v>
      </c>
    </row>
    <row r="1735" spans="1:13">
      <c r="A1735">
        <v>1729</v>
      </c>
      <c r="B1735">
        <v>65000</v>
      </c>
      <c r="C1735" t="s">
        <v>3970</v>
      </c>
      <c r="D1735" t="s">
        <v>2950</v>
      </c>
      <c r="E1735" t="s">
        <v>3971</v>
      </c>
      <c r="F1735" t="str">
        <f>"00364468"</f>
        <v>00364468</v>
      </c>
      <c r="G1735" t="s">
        <v>696</v>
      </c>
      <c r="H1735" t="s">
        <v>20</v>
      </c>
      <c r="I1735">
        <v>1520</v>
      </c>
      <c r="J1735" t="s">
        <v>21</v>
      </c>
      <c r="K1735">
        <v>0</v>
      </c>
      <c r="M1735">
        <v>1728</v>
      </c>
    </row>
    <row r="1736" spans="1:13">
      <c r="A1736">
        <v>1730</v>
      </c>
      <c r="B1736">
        <v>103534</v>
      </c>
      <c r="C1736" t="s">
        <v>3972</v>
      </c>
      <c r="D1736" t="s">
        <v>180</v>
      </c>
      <c r="E1736" t="s">
        <v>3973</v>
      </c>
      <c r="F1736" t="str">
        <f>"201208000051"</f>
        <v>201208000051</v>
      </c>
      <c r="G1736" t="s">
        <v>150</v>
      </c>
      <c r="H1736" t="s">
        <v>151</v>
      </c>
      <c r="I1736">
        <v>1699</v>
      </c>
      <c r="J1736" t="s">
        <v>21</v>
      </c>
      <c r="K1736">
        <v>0</v>
      </c>
      <c r="M1736">
        <v>1518</v>
      </c>
    </row>
    <row r="1737" spans="1:13">
      <c r="A1737">
        <v>1731</v>
      </c>
      <c r="B1737">
        <v>47241</v>
      </c>
      <c r="C1737" t="s">
        <v>3974</v>
      </c>
      <c r="D1737" t="s">
        <v>218</v>
      </c>
      <c r="E1737" t="s">
        <v>3975</v>
      </c>
      <c r="F1737" t="str">
        <f>"00365548"</f>
        <v>00365548</v>
      </c>
      <c r="G1737" t="s">
        <v>111</v>
      </c>
      <c r="H1737" t="s">
        <v>48</v>
      </c>
      <c r="I1737">
        <v>1620</v>
      </c>
      <c r="J1737" t="s">
        <v>21</v>
      </c>
      <c r="K1737">
        <v>0</v>
      </c>
      <c r="L1737" t="s">
        <v>83</v>
      </c>
      <c r="M1737">
        <v>1228</v>
      </c>
    </row>
    <row r="1738" spans="1:13">
      <c r="A1738">
        <v>1732</v>
      </c>
      <c r="B1738">
        <v>52531</v>
      </c>
      <c r="C1738" t="s">
        <v>3976</v>
      </c>
      <c r="D1738" t="s">
        <v>145</v>
      </c>
      <c r="E1738" t="s">
        <v>3977</v>
      </c>
      <c r="F1738" t="str">
        <f>"00350326"</f>
        <v>00350326</v>
      </c>
      <c r="G1738" t="s">
        <v>196</v>
      </c>
      <c r="H1738" t="s">
        <v>20</v>
      </c>
      <c r="I1738">
        <v>1512</v>
      </c>
      <c r="J1738" t="s">
        <v>21</v>
      </c>
      <c r="K1738">
        <v>6</v>
      </c>
      <c r="L1738" t="s">
        <v>88</v>
      </c>
      <c r="M1738">
        <v>471</v>
      </c>
    </row>
    <row r="1739" spans="1:13">
      <c r="A1739">
        <v>1733</v>
      </c>
      <c r="B1739">
        <v>61741</v>
      </c>
      <c r="C1739" t="s">
        <v>3978</v>
      </c>
      <c r="D1739" t="s">
        <v>2350</v>
      </c>
      <c r="E1739" t="s">
        <v>3979</v>
      </c>
      <c r="F1739" t="str">
        <f>"00368338"</f>
        <v>00368338</v>
      </c>
      <c r="G1739" t="s">
        <v>352</v>
      </c>
      <c r="H1739" t="s">
        <v>20</v>
      </c>
      <c r="I1739">
        <v>1471</v>
      </c>
      <c r="J1739" t="s">
        <v>21</v>
      </c>
      <c r="K1739">
        <v>0</v>
      </c>
      <c r="L1739" t="s">
        <v>35</v>
      </c>
      <c r="M1739">
        <v>1058</v>
      </c>
    </row>
    <row r="1740" spans="1:13">
      <c r="A1740">
        <v>1734</v>
      </c>
      <c r="B1740">
        <v>98973</v>
      </c>
      <c r="C1740" t="s">
        <v>3980</v>
      </c>
      <c r="D1740" t="s">
        <v>105</v>
      </c>
      <c r="E1740" t="s">
        <v>3981</v>
      </c>
      <c r="F1740" t="str">
        <f>"00360240"</f>
        <v>00360240</v>
      </c>
      <c r="G1740" t="s">
        <v>1100</v>
      </c>
      <c r="H1740" t="s">
        <v>234</v>
      </c>
      <c r="I1740">
        <v>1344</v>
      </c>
      <c r="J1740" t="s">
        <v>21</v>
      </c>
      <c r="K1740">
        <v>6</v>
      </c>
      <c r="L1740" t="s">
        <v>88</v>
      </c>
      <c r="M1740">
        <v>425</v>
      </c>
    </row>
    <row r="1741" spans="1:13">
      <c r="A1741">
        <v>1735</v>
      </c>
      <c r="B1741">
        <v>87447</v>
      </c>
      <c r="C1741" t="s">
        <v>3982</v>
      </c>
      <c r="D1741" t="s">
        <v>145</v>
      </c>
      <c r="E1741" t="s">
        <v>3983</v>
      </c>
      <c r="F1741" t="str">
        <f>"00022107"</f>
        <v>00022107</v>
      </c>
      <c r="G1741" t="s">
        <v>107</v>
      </c>
      <c r="H1741" t="s">
        <v>20</v>
      </c>
      <c r="I1741">
        <v>1472</v>
      </c>
      <c r="J1741" t="s">
        <v>21</v>
      </c>
      <c r="K1741">
        <v>0</v>
      </c>
      <c r="M1741">
        <v>1378</v>
      </c>
    </row>
    <row r="1742" spans="1:13">
      <c r="A1742">
        <v>1736</v>
      </c>
      <c r="B1742">
        <v>96256</v>
      </c>
      <c r="C1742" t="s">
        <v>3984</v>
      </c>
      <c r="D1742" t="s">
        <v>105</v>
      </c>
      <c r="E1742" t="s">
        <v>3985</v>
      </c>
      <c r="F1742" t="str">
        <f>"00385708"</f>
        <v>00385708</v>
      </c>
      <c r="G1742" t="s">
        <v>92</v>
      </c>
      <c r="H1742" t="s">
        <v>20</v>
      </c>
      <c r="I1742">
        <v>1425</v>
      </c>
      <c r="J1742" t="s">
        <v>21</v>
      </c>
      <c r="K1742">
        <v>0</v>
      </c>
      <c r="M1742">
        <v>1668</v>
      </c>
    </row>
    <row r="1743" spans="1:13">
      <c r="A1743">
        <v>1737</v>
      </c>
      <c r="B1743">
        <v>97048</v>
      </c>
      <c r="C1743" t="s">
        <v>3986</v>
      </c>
      <c r="D1743" t="s">
        <v>557</v>
      </c>
      <c r="E1743" t="s">
        <v>3987</v>
      </c>
      <c r="F1743" t="str">
        <f>"00395534"</f>
        <v>00395534</v>
      </c>
      <c r="G1743" t="s">
        <v>226</v>
      </c>
      <c r="H1743" t="s">
        <v>20</v>
      </c>
      <c r="I1743">
        <v>1510</v>
      </c>
      <c r="J1743" t="s">
        <v>21</v>
      </c>
      <c r="K1743">
        <v>0</v>
      </c>
      <c r="L1743" t="s">
        <v>35</v>
      </c>
      <c r="M1743">
        <v>836</v>
      </c>
    </row>
    <row r="1744" spans="1:13">
      <c r="A1744">
        <v>1738</v>
      </c>
      <c r="B1744">
        <v>106606</v>
      </c>
      <c r="C1744" t="s">
        <v>3988</v>
      </c>
      <c r="D1744" t="s">
        <v>905</v>
      </c>
      <c r="E1744" t="s">
        <v>3989</v>
      </c>
      <c r="F1744" t="str">
        <f>"00099289"</f>
        <v>00099289</v>
      </c>
      <c r="G1744" t="s">
        <v>1321</v>
      </c>
      <c r="H1744" t="s">
        <v>234</v>
      </c>
      <c r="I1744">
        <v>1330</v>
      </c>
      <c r="J1744" t="s">
        <v>21</v>
      </c>
      <c r="K1744">
        <v>0</v>
      </c>
      <c r="L1744" t="s">
        <v>88</v>
      </c>
      <c r="M1744">
        <v>900</v>
      </c>
    </row>
    <row r="1745" spans="1:13">
      <c r="A1745">
        <v>1739</v>
      </c>
      <c r="B1745">
        <v>68447</v>
      </c>
      <c r="C1745" t="s">
        <v>3990</v>
      </c>
      <c r="D1745" t="s">
        <v>76</v>
      </c>
      <c r="E1745" t="s">
        <v>3991</v>
      </c>
      <c r="F1745" t="str">
        <f>"00252571"</f>
        <v>00252571</v>
      </c>
      <c r="G1745" t="s">
        <v>1595</v>
      </c>
      <c r="H1745" t="s">
        <v>20</v>
      </c>
      <c r="I1745">
        <v>1538</v>
      </c>
      <c r="J1745" t="s">
        <v>21</v>
      </c>
      <c r="K1745">
        <v>6</v>
      </c>
      <c r="M1745">
        <v>1228</v>
      </c>
    </row>
    <row r="1746" spans="1:13">
      <c r="A1746">
        <v>1740</v>
      </c>
      <c r="B1746">
        <v>108362</v>
      </c>
      <c r="C1746" t="s">
        <v>3992</v>
      </c>
      <c r="D1746" t="s">
        <v>105</v>
      </c>
      <c r="E1746" t="s">
        <v>3993</v>
      </c>
      <c r="F1746" t="str">
        <f>"00415786"</f>
        <v>00415786</v>
      </c>
      <c r="G1746" t="s">
        <v>278</v>
      </c>
      <c r="H1746" t="s">
        <v>20</v>
      </c>
      <c r="I1746">
        <v>1441</v>
      </c>
      <c r="J1746" t="s">
        <v>21</v>
      </c>
      <c r="K1746">
        <v>0</v>
      </c>
      <c r="M1746">
        <v>1531</v>
      </c>
    </row>
    <row r="1747" spans="1:13">
      <c r="A1747">
        <v>1741</v>
      </c>
      <c r="B1747">
        <v>65517</v>
      </c>
      <c r="C1747" t="s">
        <v>3994</v>
      </c>
      <c r="D1747" t="s">
        <v>117</v>
      </c>
      <c r="E1747" t="s">
        <v>3995</v>
      </c>
      <c r="F1747" t="str">
        <f>"00345264"</f>
        <v>00345264</v>
      </c>
      <c r="G1747" t="s">
        <v>203</v>
      </c>
      <c r="H1747" t="s">
        <v>20</v>
      </c>
      <c r="I1747">
        <v>1476</v>
      </c>
      <c r="J1747" t="s">
        <v>21</v>
      </c>
      <c r="K1747">
        <v>6</v>
      </c>
      <c r="M1747">
        <v>1900</v>
      </c>
    </row>
    <row r="1748" spans="1:13">
      <c r="A1748">
        <v>1742</v>
      </c>
      <c r="B1748">
        <v>70918</v>
      </c>
      <c r="C1748" t="s">
        <v>3996</v>
      </c>
      <c r="D1748" t="s">
        <v>117</v>
      </c>
      <c r="E1748" t="s">
        <v>3997</v>
      </c>
      <c r="F1748" t="str">
        <f>"00267029"</f>
        <v>00267029</v>
      </c>
      <c r="G1748" t="s">
        <v>203</v>
      </c>
      <c r="H1748" t="s">
        <v>20</v>
      </c>
      <c r="I1748">
        <v>1476</v>
      </c>
      <c r="J1748" t="s">
        <v>21</v>
      </c>
      <c r="K1748">
        <v>6</v>
      </c>
      <c r="M1748">
        <v>1178</v>
      </c>
    </row>
    <row r="1749" spans="1:13">
      <c r="A1749">
        <v>1743</v>
      </c>
      <c r="B1749">
        <v>114562</v>
      </c>
      <c r="C1749" t="s">
        <v>3998</v>
      </c>
      <c r="D1749" t="s">
        <v>117</v>
      </c>
      <c r="E1749" t="s">
        <v>3999</v>
      </c>
      <c r="F1749" t="str">
        <f>"00418856"</f>
        <v>00418856</v>
      </c>
      <c r="G1749" t="s">
        <v>203</v>
      </c>
      <c r="H1749" t="s">
        <v>20</v>
      </c>
      <c r="I1749">
        <v>1476</v>
      </c>
      <c r="J1749" t="s">
        <v>21</v>
      </c>
      <c r="K1749">
        <v>6</v>
      </c>
      <c r="L1749" t="s">
        <v>35</v>
      </c>
      <c r="M1749">
        <v>708</v>
      </c>
    </row>
    <row r="1750" spans="1:13">
      <c r="A1750">
        <v>1744</v>
      </c>
      <c r="B1750">
        <v>113093</v>
      </c>
      <c r="C1750" t="s">
        <v>4000</v>
      </c>
      <c r="D1750" t="s">
        <v>153</v>
      </c>
      <c r="E1750" t="s">
        <v>4001</v>
      </c>
      <c r="F1750" t="str">
        <f>"00258022"</f>
        <v>00258022</v>
      </c>
      <c r="G1750" t="s">
        <v>1970</v>
      </c>
      <c r="H1750" t="s">
        <v>20</v>
      </c>
      <c r="I1750">
        <v>1440</v>
      </c>
      <c r="J1750" t="s">
        <v>21</v>
      </c>
      <c r="K1750">
        <v>6</v>
      </c>
      <c r="M1750">
        <v>1598</v>
      </c>
    </row>
    <row r="1751" spans="1:13">
      <c r="A1751">
        <v>1745</v>
      </c>
      <c r="B1751">
        <v>93403</v>
      </c>
      <c r="C1751" t="s">
        <v>4002</v>
      </c>
      <c r="D1751" t="s">
        <v>80</v>
      </c>
      <c r="E1751" t="s">
        <v>4003</v>
      </c>
      <c r="F1751" t="str">
        <f>"00358347"</f>
        <v>00358347</v>
      </c>
      <c r="G1751" t="s">
        <v>365</v>
      </c>
      <c r="H1751" t="s">
        <v>366</v>
      </c>
      <c r="I1751">
        <v>1692</v>
      </c>
      <c r="J1751" t="s">
        <v>21</v>
      </c>
      <c r="K1751">
        <v>0</v>
      </c>
      <c r="L1751" t="s">
        <v>35</v>
      </c>
      <c r="M1751">
        <v>1100</v>
      </c>
    </row>
    <row r="1752" spans="1:13">
      <c r="A1752">
        <v>1746</v>
      </c>
      <c r="B1752">
        <v>100916</v>
      </c>
      <c r="C1752" t="s">
        <v>4004</v>
      </c>
      <c r="D1752" t="s">
        <v>566</v>
      </c>
      <c r="E1752" t="s">
        <v>4005</v>
      </c>
      <c r="F1752" t="str">
        <f>"00405371"</f>
        <v>00405371</v>
      </c>
      <c r="G1752" t="s">
        <v>2710</v>
      </c>
      <c r="H1752" t="s">
        <v>366</v>
      </c>
      <c r="I1752">
        <v>1691</v>
      </c>
      <c r="J1752" t="s">
        <v>21</v>
      </c>
      <c r="K1752">
        <v>0</v>
      </c>
      <c r="L1752" t="s">
        <v>35</v>
      </c>
      <c r="M1752">
        <v>1158</v>
      </c>
    </row>
    <row r="1753" spans="1:13">
      <c r="A1753">
        <v>1747</v>
      </c>
      <c r="B1753">
        <v>73120</v>
      </c>
      <c r="C1753" t="s">
        <v>4006</v>
      </c>
      <c r="D1753" t="s">
        <v>130</v>
      </c>
      <c r="E1753" t="s">
        <v>4007</v>
      </c>
      <c r="F1753" t="str">
        <f>"201511007919"</f>
        <v>201511007919</v>
      </c>
      <c r="G1753" t="s">
        <v>307</v>
      </c>
      <c r="H1753" t="s">
        <v>308</v>
      </c>
      <c r="I1753">
        <v>1589</v>
      </c>
      <c r="J1753" t="s">
        <v>21</v>
      </c>
      <c r="K1753">
        <v>0</v>
      </c>
      <c r="L1753" t="s">
        <v>35</v>
      </c>
      <c r="M1753">
        <v>825</v>
      </c>
    </row>
    <row r="1754" spans="1:13">
      <c r="A1754">
        <v>1748</v>
      </c>
      <c r="B1754">
        <v>95438</v>
      </c>
      <c r="C1754" t="s">
        <v>4008</v>
      </c>
      <c r="D1754" t="s">
        <v>80</v>
      </c>
      <c r="E1754" t="s">
        <v>4009</v>
      </c>
      <c r="F1754" t="str">
        <f>"00286444"</f>
        <v>00286444</v>
      </c>
      <c r="G1754" t="s">
        <v>38</v>
      </c>
      <c r="H1754" t="s">
        <v>119</v>
      </c>
      <c r="I1754">
        <v>1674</v>
      </c>
      <c r="J1754" t="s">
        <v>21</v>
      </c>
      <c r="K1754">
        <v>6</v>
      </c>
      <c r="M1754">
        <v>1135</v>
      </c>
    </row>
    <row r="1755" spans="1:13">
      <c r="A1755">
        <v>1749</v>
      </c>
      <c r="B1755">
        <v>95277</v>
      </c>
      <c r="C1755" t="s">
        <v>4010</v>
      </c>
      <c r="D1755" t="s">
        <v>213</v>
      </c>
      <c r="E1755" t="s">
        <v>4011</v>
      </c>
      <c r="F1755" t="str">
        <f>"00381777"</f>
        <v>00381777</v>
      </c>
      <c r="G1755" t="s">
        <v>47</v>
      </c>
      <c r="H1755" t="s">
        <v>48</v>
      </c>
      <c r="I1755">
        <v>1623</v>
      </c>
      <c r="J1755" t="s">
        <v>21</v>
      </c>
      <c r="K1755">
        <v>0</v>
      </c>
      <c r="M1755">
        <v>1363</v>
      </c>
    </row>
    <row r="1756" spans="1:13">
      <c r="A1756">
        <v>1750</v>
      </c>
      <c r="B1756">
        <v>108814</v>
      </c>
      <c r="C1756" t="s">
        <v>4012</v>
      </c>
      <c r="D1756" t="s">
        <v>566</v>
      </c>
      <c r="E1756" t="s">
        <v>4013</v>
      </c>
      <c r="F1756" t="str">
        <f>"00315669"</f>
        <v>00315669</v>
      </c>
      <c r="G1756" t="s">
        <v>226</v>
      </c>
      <c r="H1756" t="s">
        <v>20</v>
      </c>
      <c r="I1756">
        <v>1510</v>
      </c>
      <c r="J1756" t="s">
        <v>21</v>
      </c>
      <c r="K1756">
        <v>0</v>
      </c>
      <c r="M1756">
        <v>1328</v>
      </c>
    </row>
    <row r="1757" spans="1:13">
      <c r="A1757">
        <v>1751</v>
      </c>
      <c r="B1757">
        <v>53200</v>
      </c>
      <c r="C1757" t="s">
        <v>4014</v>
      </c>
      <c r="D1757" t="s">
        <v>80</v>
      </c>
      <c r="E1757" t="s">
        <v>4015</v>
      </c>
      <c r="F1757" t="str">
        <f>"00269793"</f>
        <v>00269793</v>
      </c>
      <c r="G1757" t="s">
        <v>1084</v>
      </c>
      <c r="H1757" t="s">
        <v>1085</v>
      </c>
      <c r="I1757">
        <v>1588</v>
      </c>
      <c r="J1757" t="s">
        <v>21</v>
      </c>
      <c r="K1757">
        <v>0</v>
      </c>
      <c r="M1757">
        <v>1708</v>
      </c>
    </row>
    <row r="1758" spans="1:13">
      <c r="A1758">
        <v>1752</v>
      </c>
      <c r="B1758">
        <v>79162</v>
      </c>
      <c r="C1758" t="s">
        <v>4016</v>
      </c>
      <c r="D1758" t="s">
        <v>65</v>
      </c>
      <c r="E1758" t="s">
        <v>4017</v>
      </c>
      <c r="F1758" t="str">
        <f>"00192494"</f>
        <v>00192494</v>
      </c>
      <c r="G1758" t="s">
        <v>96</v>
      </c>
      <c r="H1758" t="s">
        <v>20</v>
      </c>
      <c r="I1758">
        <v>1474</v>
      </c>
      <c r="J1758" t="s">
        <v>21</v>
      </c>
      <c r="K1758">
        <v>0</v>
      </c>
      <c r="M1758">
        <v>1538</v>
      </c>
    </row>
    <row r="1759" spans="1:13">
      <c r="A1759">
        <v>1753</v>
      </c>
      <c r="B1759">
        <v>67191</v>
      </c>
      <c r="C1759" t="s">
        <v>4018</v>
      </c>
      <c r="D1759" t="s">
        <v>180</v>
      </c>
      <c r="E1759" t="s">
        <v>4019</v>
      </c>
      <c r="F1759" t="str">
        <f>"201510005115"</f>
        <v>201510005115</v>
      </c>
      <c r="G1759" t="s">
        <v>70</v>
      </c>
      <c r="H1759" t="s">
        <v>71</v>
      </c>
      <c r="I1759">
        <v>1702</v>
      </c>
      <c r="J1759" t="s">
        <v>21</v>
      </c>
      <c r="K1759">
        <v>0</v>
      </c>
      <c r="L1759" t="s">
        <v>88</v>
      </c>
      <c r="M1759">
        <v>775</v>
      </c>
    </row>
    <row r="1760" spans="1:13">
      <c r="A1760">
        <v>1754</v>
      </c>
      <c r="B1760">
        <v>68125</v>
      </c>
      <c r="C1760" t="s">
        <v>4020</v>
      </c>
      <c r="D1760" t="s">
        <v>121</v>
      </c>
      <c r="E1760" t="s">
        <v>4021</v>
      </c>
      <c r="F1760" t="str">
        <f>"00382347"</f>
        <v>00382347</v>
      </c>
      <c r="G1760" t="s">
        <v>561</v>
      </c>
      <c r="H1760" t="s">
        <v>20</v>
      </c>
      <c r="I1760">
        <v>1574</v>
      </c>
      <c r="J1760" t="s">
        <v>21</v>
      </c>
      <c r="K1760">
        <v>0</v>
      </c>
      <c r="L1760" t="s">
        <v>35</v>
      </c>
      <c r="M1760">
        <v>902</v>
      </c>
    </row>
    <row r="1761" spans="1:13">
      <c r="A1761">
        <v>1755</v>
      </c>
      <c r="B1761">
        <v>82459</v>
      </c>
      <c r="C1761" t="s">
        <v>4022</v>
      </c>
      <c r="D1761" t="s">
        <v>180</v>
      </c>
      <c r="E1761" t="s">
        <v>4023</v>
      </c>
      <c r="F1761" t="str">
        <f>"00417685"</f>
        <v>00417685</v>
      </c>
      <c r="G1761" t="s">
        <v>107</v>
      </c>
      <c r="H1761" t="s">
        <v>20</v>
      </c>
      <c r="I1761">
        <v>1472</v>
      </c>
      <c r="J1761" t="s">
        <v>21</v>
      </c>
      <c r="K1761">
        <v>0</v>
      </c>
      <c r="M1761">
        <v>1428</v>
      </c>
    </row>
    <row r="1762" spans="1:13">
      <c r="A1762">
        <v>1756</v>
      </c>
      <c r="B1762">
        <v>100369</v>
      </c>
      <c r="C1762" t="s">
        <v>4024</v>
      </c>
      <c r="D1762" t="s">
        <v>105</v>
      </c>
      <c r="E1762" t="s">
        <v>4025</v>
      </c>
      <c r="F1762" t="str">
        <f>"00405984"</f>
        <v>00405984</v>
      </c>
      <c r="G1762" t="s">
        <v>576</v>
      </c>
      <c r="H1762" t="s">
        <v>535</v>
      </c>
      <c r="I1762">
        <v>1666</v>
      </c>
      <c r="J1762" t="s">
        <v>21</v>
      </c>
      <c r="K1762">
        <v>6</v>
      </c>
      <c r="L1762" t="s">
        <v>35</v>
      </c>
      <c r="M1762">
        <v>908</v>
      </c>
    </row>
    <row r="1763" spans="1:13">
      <c r="A1763">
        <v>1757</v>
      </c>
      <c r="B1763">
        <v>84441</v>
      </c>
      <c r="C1763" t="s">
        <v>4026</v>
      </c>
      <c r="D1763" t="s">
        <v>145</v>
      </c>
      <c r="E1763" t="s">
        <v>4027</v>
      </c>
      <c r="F1763" t="str">
        <f>"00381865"</f>
        <v>00381865</v>
      </c>
      <c r="G1763" t="s">
        <v>1498</v>
      </c>
      <c r="H1763" t="s">
        <v>1499</v>
      </c>
      <c r="I1763">
        <v>1598</v>
      </c>
      <c r="J1763" t="s">
        <v>21</v>
      </c>
      <c r="K1763">
        <v>6</v>
      </c>
      <c r="L1763" t="s">
        <v>35</v>
      </c>
      <c r="M1763">
        <v>1248</v>
      </c>
    </row>
    <row r="1764" spans="1:13">
      <c r="A1764">
        <v>1758</v>
      </c>
      <c r="B1764">
        <v>108993</v>
      </c>
      <c r="C1764" t="s">
        <v>4028</v>
      </c>
      <c r="D1764" t="s">
        <v>105</v>
      </c>
      <c r="E1764" t="s">
        <v>4029</v>
      </c>
      <c r="F1764" t="str">
        <f>"201409002538"</f>
        <v>201409002538</v>
      </c>
      <c r="G1764" t="s">
        <v>63</v>
      </c>
      <c r="H1764" t="s">
        <v>20</v>
      </c>
      <c r="I1764">
        <v>1576</v>
      </c>
      <c r="J1764" t="s">
        <v>21</v>
      </c>
      <c r="K1764">
        <v>0</v>
      </c>
      <c r="L1764" t="s">
        <v>112</v>
      </c>
      <c r="M1764">
        <v>808</v>
      </c>
    </row>
    <row r="1765" spans="1:13">
      <c r="A1765">
        <v>1759</v>
      </c>
      <c r="B1765">
        <v>107080</v>
      </c>
      <c r="C1765" t="s">
        <v>4030</v>
      </c>
      <c r="D1765" t="s">
        <v>105</v>
      </c>
      <c r="E1765" t="s">
        <v>4031</v>
      </c>
      <c r="F1765" t="str">
        <f>"00423129"</f>
        <v>00423129</v>
      </c>
      <c r="G1765" t="s">
        <v>3256</v>
      </c>
      <c r="H1765" t="s">
        <v>20</v>
      </c>
      <c r="I1765">
        <v>1418</v>
      </c>
      <c r="J1765" t="s">
        <v>21</v>
      </c>
      <c r="K1765">
        <v>0</v>
      </c>
      <c r="M1765">
        <v>1428</v>
      </c>
    </row>
    <row r="1766" spans="1:13">
      <c r="A1766">
        <v>1760</v>
      </c>
      <c r="B1766">
        <v>115624</v>
      </c>
      <c r="C1766" t="s">
        <v>4032</v>
      </c>
      <c r="D1766" t="s">
        <v>243</v>
      </c>
      <c r="E1766" t="s">
        <v>4033</v>
      </c>
      <c r="F1766" t="str">
        <f>"201511014572"</f>
        <v>201511014572</v>
      </c>
      <c r="G1766" t="s">
        <v>395</v>
      </c>
      <c r="H1766" t="s">
        <v>234</v>
      </c>
      <c r="I1766">
        <v>1336</v>
      </c>
      <c r="J1766" t="s">
        <v>21</v>
      </c>
      <c r="K1766">
        <v>0</v>
      </c>
      <c r="M1766">
        <v>1388</v>
      </c>
    </row>
    <row r="1767" spans="1:13">
      <c r="A1767">
        <v>1761</v>
      </c>
      <c r="B1767">
        <v>73631</v>
      </c>
      <c r="C1767" t="s">
        <v>4034</v>
      </c>
      <c r="D1767" t="s">
        <v>121</v>
      </c>
      <c r="E1767" t="s">
        <v>4035</v>
      </c>
      <c r="F1767" t="str">
        <f>"00402586"</f>
        <v>00402586</v>
      </c>
      <c r="G1767" t="s">
        <v>4036</v>
      </c>
      <c r="H1767" t="s">
        <v>20</v>
      </c>
      <c r="I1767">
        <v>1442</v>
      </c>
      <c r="J1767" t="s">
        <v>21</v>
      </c>
      <c r="K1767">
        <v>0</v>
      </c>
      <c r="M1767">
        <v>1388</v>
      </c>
    </row>
    <row r="1768" spans="1:13">
      <c r="A1768">
        <v>1762</v>
      </c>
      <c r="B1768">
        <v>65421</v>
      </c>
      <c r="C1768" t="s">
        <v>4037</v>
      </c>
      <c r="D1768" t="s">
        <v>105</v>
      </c>
      <c r="E1768" t="s">
        <v>4038</v>
      </c>
      <c r="F1768" t="str">
        <f>"00302151"</f>
        <v>00302151</v>
      </c>
      <c r="G1768" t="s">
        <v>4039</v>
      </c>
      <c r="H1768" t="s">
        <v>137</v>
      </c>
      <c r="I1768">
        <v>1611</v>
      </c>
      <c r="J1768" t="s">
        <v>21</v>
      </c>
      <c r="K1768">
        <v>7</v>
      </c>
      <c r="M1768">
        <v>988</v>
      </c>
    </row>
    <row r="1769" spans="1:13">
      <c r="A1769">
        <v>1763</v>
      </c>
      <c r="B1769">
        <v>89541</v>
      </c>
      <c r="C1769" t="s">
        <v>4040</v>
      </c>
      <c r="D1769" t="s">
        <v>121</v>
      </c>
      <c r="E1769" t="s">
        <v>4041</v>
      </c>
      <c r="F1769" t="str">
        <f>"00384613"</f>
        <v>00384613</v>
      </c>
      <c r="G1769" t="s">
        <v>332</v>
      </c>
      <c r="H1769" t="s">
        <v>270</v>
      </c>
      <c r="I1769">
        <v>1631</v>
      </c>
      <c r="J1769" t="s">
        <v>21</v>
      </c>
      <c r="K1769">
        <v>6</v>
      </c>
      <c r="L1769" t="s">
        <v>35</v>
      </c>
      <c r="M1769">
        <v>1008</v>
      </c>
    </row>
    <row r="1770" spans="1:13">
      <c r="A1770">
        <v>1764</v>
      </c>
      <c r="B1770">
        <v>87635</v>
      </c>
      <c r="C1770" t="s">
        <v>4042</v>
      </c>
      <c r="D1770" t="s">
        <v>121</v>
      </c>
      <c r="E1770" t="s">
        <v>4043</v>
      </c>
      <c r="F1770" t="str">
        <f>"00258818"</f>
        <v>00258818</v>
      </c>
      <c r="G1770" t="s">
        <v>488</v>
      </c>
      <c r="H1770" t="s">
        <v>20</v>
      </c>
      <c r="I1770">
        <v>1482</v>
      </c>
      <c r="J1770" t="s">
        <v>21</v>
      </c>
      <c r="K1770">
        <v>0</v>
      </c>
      <c r="M1770">
        <v>1388</v>
      </c>
    </row>
    <row r="1771" spans="1:13">
      <c r="A1771">
        <v>1765</v>
      </c>
      <c r="B1771">
        <v>58942</v>
      </c>
      <c r="C1771" t="s">
        <v>4044</v>
      </c>
      <c r="D1771" t="s">
        <v>102</v>
      </c>
      <c r="E1771" t="s">
        <v>4045</v>
      </c>
      <c r="F1771" t="str">
        <f>"00251116"</f>
        <v>00251116</v>
      </c>
      <c r="G1771" t="s">
        <v>341</v>
      </c>
      <c r="H1771" t="s">
        <v>20</v>
      </c>
      <c r="I1771">
        <v>1553</v>
      </c>
      <c r="J1771" t="s">
        <v>21</v>
      </c>
      <c r="K1771">
        <v>6</v>
      </c>
      <c r="M1771">
        <v>1728</v>
      </c>
    </row>
    <row r="1772" spans="1:13">
      <c r="A1772">
        <v>1766</v>
      </c>
      <c r="B1772">
        <v>51120</v>
      </c>
      <c r="C1772" t="s">
        <v>4046</v>
      </c>
      <c r="D1772" t="s">
        <v>1492</v>
      </c>
      <c r="E1772" t="s">
        <v>4047</v>
      </c>
      <c r="F1772" t="str">
        <f>"00302813"</f>
        <v>00302813</v>
      </c>
      <c r="G1772" t="s">
        <v>230</v>
      </c>
      <c r="H1772" t="s">
        <v>20</v>
      </c>
      <c r="I1772">
        <v>1545</v>
      </c>
      <c r="J1772" t="s">
        <v>21</v>
      </c>
      <c r="K1772">
        <v>0</v>
      </c>
      <c r="L1772" t="s">
        <v>59</v>
      </c>
      <c r="M1772">
        <v>1128</v>
      </c>
    </row>
    <row r="1773" spans="1:13">
      <c r="A1773">
        <v>1767</v>
      </c>
      <c r="B1773">
        <v>110786</v>
      </c>
      <c r="C1773" t="s">
        <v>4048</v>
      </c>
      <c r="D1773" t="s">
        <v>76</v>
      </c>
      <c r="E1773" t="s">
        <v>4049</v>
      </c>
      <c r="F1773" t="str">
        <f>"00349383"</f>
        <v>00349383</v>
      </c>
      <c r="G1773" t="s">
        <v>971</v>
      </c>
      <c r="H1773" t="s">
        <v>48</v>
      </c>
      <c r="I1773">
        <v>1624</v>
      </c>
      <c r="J1773" t="s">
        <v>21</v>
      </c>
      <c r="K1773">
        <v>0</v>
      </c>
      <c r="M1773">
        <v>1338</v>
      </c>
    </row>
    <row r="1774" spans="1:13">
      <c r="A1774">
        <v>1768</v>
      </c>
      <c r="B1774">
        <v>70570</v>
      </c>
      <c r="C1774" t="s">
        <v>4050</v>
      </c>
      <c r="D1774" t="s">
        <v>2158</v>
      </c>
      <c r="E1774" t="s">
        <v>4051</v>
      </c>
      <c r="F1774" t="str">
        <f>"00384540"</f>
        <v>00384540</v>
      </c>
      <c r="G1774" t="s">
        <v>107</v>
      </c>
      <c r="H1774" t="s">
        <v>20</v>
      </c>
      <c r="I1774">
        <v>1472</v>
      </c>
      <c r="J1774" t="s">
        <v>21</v>
      </c>
      <c r="K1774">
        <v>0</v>
      </c>
      <c r="L1774" t="s">
        <v>88</v>
      </c>
      <c r="M1774">
        <v>600</v>
      </c>
    </row>
    <row r="1775" spans="1:13">
      <c r="A1775">
        <v>1769</v>
      </c>
      <c r="B1775">
        <v>106343</v>
      </c>
      <c r="C1775" t="s">
        <v>4052</v>
      </c>
      <c r="D1775" t="s">
        <v>198</v>
      </c>
      <c r="E1775" t="s">
        <v>4053</v>
      </c>
      <c r="F1775" t="str">
        <f>"00406848"</f>
        <v>00406848</v>
      </c>
      <c r="G1775" t="s">
        <v>47</v>
      </c>
      <c r="H1775" t="s">
        <v>48</v>
      </c>
      <c r="I1775">
        <v>1623</v>
      </c>
      <c r="J1775" t="s">
        <v>21</v>
      </c>
      <c r="K1775">
        <v>0</v>
      </c>
      <c r="L1775" t="s">
        <v>35</v>
      </c>
      <c r="M1775">
        <v>971</v>
      </c>
    </row>
    <row r="1776" spans="1:13">
      <c r="A1776">
        <v>1770</v>
      </c>
      <c r="B1776">
        <v>95601</v>
      </c>
      <c r="C1776" t="s">
        <v>4054</v>
      </c>
      <c r="D1776" t="s">
        <v>105</v>
      </c>
      <c r="E1776" t="s">
        <v>4055</v>
      </c>
      <c r="F1776" t="str">
        <f>"00020465"</f>
        <v>00020465</v>
      </c>
      <c r="G1776" t="s">
        <v>107</v>
      </c>
      <c r="H1776" t="s">
        <v>20</v>
      </c>
      <c r="I1776">
        <v>1472</v>
      </c>
      <c r="J1776" t="s">
        <v>21</v>
      </c>
      <c r="K1776">
        <v>0</v>
      </c>
      <c r="L1776" t="s">
        <v>83</v>
      </c>
      <c r="M1776">
        <v>1288</v>
      </c>
    </row>
    <row r="1777" spans="1:13">
      <c r="A1777">
        <v>1771</v>
      </c>
      <c r="B1777">
        <v>64872</v>
      </c>
      <c r="C1777" t="s">
        <v>4056</v>
      </c>
      <c r="D1777" t="s">
        <v>76</v>
      </c>
      <c r="E1777" t="s">
        <v>4057</v>
      </c>
      <c r="F1777" t="str">
        <f>"201411001412"</f>
        <v>201411001412</v>
      </c>
      <c r="G1777" t="s">
        <v>520</v>
      </c>
      <c r="H1777" t="s">
        <v>20</v>
      </c>
      <c r="I1777">
        <v>1540</v>
      </c>
      <c r="J1777" t="s">
        <v>21</v>
      </c>
      <c r="K1777">
        <v>0</v>
      </c>
      <c r="L1777" t="s">
        <v>35</v>
      </c>
      <c r="M1777">
        <v>932</v>
      </c>
    </row>
    <row r="1778" spans="1:13">
      <c r="A1778">
        <v>1772</v>
      </c>
      <c r="B1778">
        <v>80071</v>
      </c>
      <c r="C1778" t="s">
        <v>4058</v>
      </c>
      <c r="D1778" t="s">
        <v>76</v>
      </c>
      <c r="E1778" t="s">
        <v>4059</v>
      </c>
      <c r="F1778" t="str">
        <f>"00096432"</f>
        <v>00096432</v>
      </c>
      <c r="G1778" t="s">
        <v>520</v>
      </c>
      <c r="H1778" t="s">
        <v>20</v>
      </c>
      <c r="I1778">
        <v>1540</v>
      </c>
      <c r="J1778" t="s">
        <v>21</v>
      </c>
      <c r="K1778">
        <v>0</v>
      </c>
      <c r="L1778" t="s">
        <v>83</v>
      </c>
      <c r="M1778">
        <v>1358</v>
      </c>
    </row>
    <row r="1779" spans="1:13">
      <c r="A1779">
        <v>1773</v>
      </c>
      <c r="B1779">
        <v>88903</v>
      </c>
      <c r="C1779" t="s">
        <v>4060</v>
      </c>
      <c r="D1779" t="s">
        <v>105</v>
      </c>
      <c r="E1779" t="s">
        <v>4061</v>
      </c>
      <c r="F1779" t="str">
        <f>"00364885"</f>
        <v>00364885</v>
      </c>
      <c r="G1779" t="s">
        <v>341</v>
      </c>
      <c r="H1779" t="s">
        <v>2515</v>
      </c>
      <c r="I1779">
        <v>1348</v>
      </c>
      <c r="J1779" t="s">
        <v>21</v>
      </c>
      <c r="K1779">
        <v>6</v>
      </c>
      <c r="M1779">
        <v>1406</v>
      </c>
    </row>
    <row r="1780" spans="1:13">
      <c r="A1780">
        <v>1774</v>
      </c>
      <c r="B1780">
        <v>85357</v>
      </c>
      <c r="C1780" t="s">
        <v>4062</v>
      </c>
      <c r="D1780" t="s">
        <v>243</v>
      </c>
      <c r="E1780" t="s">
        <v>4063</v>
      </c>
      <c r="F1780" t="str">
        <f>"00380986"</f>
        <v>00380986</v>
      </c>
      <c r="G1780" t="s">
        <v>147</v>
      </c>
      <c r="H1780" t="s">
        <v>20</v>
      </c>
      <c r="I1780">
        <v>1529</v>
      </c>
      <c r="J1780" t="s">
        <v>21</v>
      </c>
      <c r="K1780">
        <v>0</v>
      </c>
      <c r="L1780" t="s">
        <v>35</v>
      </c>
      <c r="M1780">
        <v>908</v>
      </c>
    </row>
    <row r="1781" spans="1:13">
      <c r="A1781">
        <v>1775</v>
      </c>
      <c r="B1781">
        <v>112348</v>
      </c>
      <c r="C1781" t="s">
        <v>4064</v>
      </c>
      <c r="D1781" t="s">
        <v>80</v>
      </c>
      <c r="E1781" t="s">
        <v>4065</v>
      </c>
      <c r="F1781" t="str">
        <f>"00366618"</f>
        <v>00366618</v>
      </c>
      <c r="G1781" t="s">
        <v>371</v>
      </c>
      <c r="H1781" t="s">
        <v>20</v>
      </c>
      <c r="I1781">
        <v>1526</v>
      </c>
      <c r="J1781" t="s">
        <v>21</v>
      </c>
      <c r="K1781">
        <v>6</v>
      </c>
      <c r="L1781" t="s">
        <v>35</v>
      </c>
      <c r="M1781">
        <v>700</v>
      </c>
    </row>
    <row r="1782" spans="1:13">
      <c r="A1782">
        <v>1776</v>
      </c>
      <c r="B1782">
        <v>88445</v>
      </c>
      <c r="C1782" t="s">
        <v>4066</v>
      </c>
      <c r="D1782" t="s">
        <v>80</v>
      </c>
      <c r="E1782" t="s">
        <v>4067</v>
      </c>
      <c r="F1782" t="str">
        <f>"201511023164"</f>
        <v>201511023164</v>
      </c>
      <c r="G1782" t="s">
        <v>125</v>
      </c>
      <c r="H1782" t="s">
        <v>20</v>
      </c>
      <c r="I1782">
        <v>1507</v>
      </c>
      <c r="J1782" t="s">
        <v>21</v>
      </c>
      <c r="K1782">
        <v>0</v>
      </c>
      <c r="M1782">
        <v>1488</v>
      </c>
    </row>
    <row r="1783" spans="1:13">
      <c r="A1783">
        <v>1777</v>
      </c>
      <c r="B1783">
        <v>106469</v>
      </c>
      <c r="C1783" t="s">
        <v>4068</v>
      </c>
      <c r="D1783" t="s">
        <v>105</v>
      </c>
      <c r="E1783" t="s">
        <v>4069</v>
      </c>
      <c r="F1783" t="str">
        <f>"00405826"</f>
        <v>00405826</v>
      </c>
      <c r="G1783" t="s">
        <v>2710</v>
      </c>
      <c r="H1783" t="s">
        <v>366</v>
      </c>
      <c r="I1783">
        <v>1691</v>
      </c>
      <c r="J1783" t="s">
        <v>21</v>
      </c>
      <c r="K1783">
        <v>0</v>
      </c>
      <c r="L1783" t="s">
        <v>59</v>
      </c>
      <c r="M1783">
        <v>928</v>
      </c>
    </row>
    <row r="1784" spans="1:13">
      <c r="A1784">
        <v>1778</v>
      </c>
      <c r="B1784">
        <v>96263</v>
      </c>
      <c r="C1784" t="s">
        <v>4070</v>
      </c>
      <c r="D1784" t="s">
        <v>1680</v>
      </c>
      <c r="E1784" t="s">
        <v>4071</v>
      </c>
      <c r="F1784" t="str">
        <f>"00312773"</f>
        <v>00312773</v>
      </c>
      <c r="G1784" t="s">
        <v>82</v>
      </c>
      <c r="H1784" t="s">
        <v>20</v>
      </c>
      <c r="I1784">
        <v>1475</v>
      </c>
      <c r="J1784" t="s">
        <v>21</v>
      </c>
      <c r="K1784">
        <v>0</v>
      </c>
      <c r="M1784">
        <v>1448</v>
      </c>
    </row>
    <row r="1785" spans="1:13">
      <c r="A1785">
        <v>1779</v>
      </c>
      <c r="B1785">
        <v>107322</v>
      </c>
      <c r="C1785" t="s">
        <v>4072</v>
      </c>
      <c r="D1785" t="s">
        <v>163</v>
      </c>
      <c r="E1785" t="s">
        <v>4073</v>
      </c>
      <c r="F1785" t="str">
        <f>"00422076"</f>
        <v>00422076</v>
      </c>
      <c r="G1785" t="s">
        <v>1695</v>
      </c>
      <c r="H1785" t="s">
        <v>20</v>
      </c>
      <c r="I1785">
        <v>1533</v>
      </c>
      <c r="J1785" t="s">
        <v>21</v>
      </c>
      <c r="K1785">
        <v>0</v>
      </c>
      <c r="L1785" t="s">
        <v>35</v>
      </c>
      <c r="M1785">
        <v>872</v>
      </c>
    </row>
    <row r="1786" spans="1:13">
      <c r="A1786">
        <v>1780</v>
      </c>
      <c r="B1786">
        <v>52887</v>
      </c>
      <c r="C1786" t="s">
        <v>4074</v>
      </c>
      <c r="D1786" t="s">
        <v>249</v>
      </c>
      <c r="E1786" t="s">
        <v>4075</v>
      </c>
      <c r="F1786" t="str">
        <f>"00323418"</f>
        <v>00323418</v>
      </c>
      <c r="G1786" t="s">
        <v>278</v>
      </c>
      <c r="H1786" t="s">
        <v>1499</v>
      </c>
      <c r="I1786">
        <v>1597</v>
      </c>
      <c r="J1786" t="s">
        <v>21</v>
      </c>
      <c r="K1786">
        <v>0</v>
      </c>
      <c r="L1786" t="s">
        <v>35</v>
      </c>
      <c r="M1786">
        <v>975</v>
      </c>
    </row>
    <row r="1787" spans="1:13">
      <c r="A1787">
        <v>1781</v>
      </c>
      <c r="B1787">
        <v>74305</v>
      </c>
      <c r="C1787" t="s">
        <v>4076</v>
      </c>
      <c r="D1787" t="s">
        <v>153</v>
      </c>
      <c r="E1787" t="s">
        <v>4077</v>
      </c>
      <c r="F1787" t="str">
        <f>"00386480"</f>
        <v>00386480</v>
      </c>
      <c r="G1787" t="s">
        <v>278</v>
      </c>
      <c r="H1787" t="s">
        <v>1499</v>
      </c>
      <c r="I1787">
        <v>1597</v>
      </c>
      <c r="J1787" t="s">
        <v>21</v>
      </c>
      <c r="K1787">
        <v>0</v>
      </c>
      <c r="L1787" t="s">
        <v>35</v>
      </c>
      <c r="M1787">
        <v>1050</v>
      </c>
    </row>
    <row r="1788" spans="1:13">
      <c r="A1788">
        <v>1782</v>
      </c>
      <c r="B1788">
        <v>88037</v>
      </c>
      <c r="C1788" t="s">
        <v>4078</v>
      </c>
      <c r="D1788" t="s">
        <v>198</v>
      </c>
      <c r="E1788" t="s">
        <v>4079</v>
      </c>
      <c r="F1788" t="str">
        <f>"00381629"</f>
        <v>00381629</v>
      </c>
      <c r="G1788" t="s">
        <v>150</v>
      </c>
      <c r="H1788" t="s">
        <v>151</v>
      </c>
      <c r="I1788">
        <v>1699</v>
      </c>
      <c r="J1788" t="s">
        <v>21</v>
      </c>
      <c r="K1788">
        <v>0</v>
      </c>
      <c r="L1788" t="s">
        <v>35</v>
      </c>
      <c r="M1788">
        <v>900</v>
      </c>
    </row>
    <row r="1789" spans="1:13">
      <c r="A1789">
        <v>1783</v>
      </c>
      <c r="B1789">
        <v>103748</v>
      </c>
      <c r="C1789" t="s">
        <v>4080</v>
      </c>
      <c r="D1789" t="s">
        <v>180</v>
      </c>
      <c r="E1789" t="s">
        <v>4081</v>
      </c>
      <c r="F1789" t="str">
        <f>"00384722"</f>
        <v>00384722</v>
      </c>
      <c r="G1789" t="s">
        <v>125</v>
      </c>
      <c r="H1789" t="s">
        <v>20</v>
      </c>
      <c r="I1789">
        <v>1507</v>
      </c>
      <c r="J1789" t="s">
        <v>21</v>
      </c>
      <c r="K1789">
        <v>0</v>
      </c>
      <c r="M1789">
        <v>1468</v>
      </c>
    </row>
    <row r="1790" spans="1:13">
      <c r="A1790">
        <v>1784</v>
      </c>
      <c r="B1790">
        <v>67261</v>
      </c>
      <c r="C1790" t="s">
        <v>4082</v>
      </c>
      <c r="D1790" t="s">
        <v>80</v>
      </c>
      <c r="E1790" t="s">
        <v>4083</v>
      </c>
      <c r="F1790" t="str">
        <f>"00407141"</f>
        <v>00407141</v>
      </c>
      <c r="G1790" t="s">
        <v>1869</v>
      </c>
      <c r="H1790" t="s">
        <v>20</v>
      </c>
      <c r="I1790">
        <v>1473</v>
      </c>
      <c r="J1790" t="s">
        <v>21</v>
      </c>
      <c r="K1790">
        <v>0</v>
      </c>
      <c r="M1790">
        <v>1508</v>
      </c>
    </row>
    <row r="1791" spans="1:13">
      <c r="A1791">
        <v>1785</v>
      </c>
      <c r="B1791">
        <v>111129</v>
      </c>
      <c r="C1791" t="s">
        <v>4084</v>
      </c>
      <c r="D1791" t="s">
        <v>94</v>
      </c>
      <c r="E1791" t="s">
        <v>4085</v>
      </c>
      <c r="F1791" t="str">
        <f>"00399375"</f>
        <v>00399375</v>
      </c>
      <c r="G1791" t="s">
        <v>150</v>
      </c>
      <c r="H1791" t="s">
        <v>151</v>
      </c>
      <c r="I1791">
        <v>1699</v>
      </c>
      <c r="J1791" t="s">
        <v>21</v>
      </c>
      <c r="K1791">
        <v>0</v>
      </c>
      <c r="L1791" t="s">
        <v>35</v>
      </c>
      <c r="M1791">
        <v>1008</v>
      </c>
    </row>
    <row r="1792" spans="1:13">
      <c r="A1792">
        <v>1786</v>
      </c>
      <c r="B1792">
        <v>92602</v>
      </c>
      <c r="C1792" t="s">
        <v>4086</v>
      </c>
      <c r="D1792" t="s">
        <v>557</v>
      </c>
      <c r="E1792" t="s">
        <v>4087</v>
      </c>
      <c r="F1792" t="str">
        <f>"00387840"</f>
        <v>00387840</v>
      </c>
      <c r="G1792" t="s">
        <v>155</v>
      </c>
      <c r="H1792" t="s">
        <v>156</v>
      </c>
      <c r="I1792">
        <v>1342</v>
      </c>
      <c r="J1792" t="s">
        <v>21</v>
      </c>
      <c r="K1792">
        <v>0</v>
      </c>
      <c r="M1792">
        <v>1511</v>
      </c>
    </row>
    <row r="1793" spans="1:13">
      <c r="A1793">
        <v>1787</v>
      </c>
      <c r="B1793">
        <v>64962</v>
      </c>
      <c r="C1793" t="s">
        <v>4088</v>
      </c>
      <c r="D1793" t="s">
        <v>145</v>
      </c>
      <c r="E1793" t="s">
        <v>4089</v>
      </c>
      <c r="F1793" t="str">
        <f>"201504002879"</f>
        <v>201504002879</v>
      </c>
      <c r="G1793" t="s">
        <v>2768</v>
      </c>
      <c r="H1793" t="s">
        <v>20</v>
      </c>
      <c r="I1793">
        <v>1409</v>
      </c>
      <c r="J1793" t="s">
        <v>21</v>
      </c>
      <c r="K1793">
        <v>0</v>
      </c>
      <c r="L1793" t="s">
        <v>35</v>
      </c>
      <c r="M1793">
        <v>1027</v>
      </c>
    </row>
    <row r="1794" spans="1:13">
      <c r="A1794">
        <v>1788</v>
      </c>
      <c r="B1794">
        <v>73965</v>
      </c>
      <c r="C1794" t="s">
        <v>4090</v>
      </c>
      <c r="D1794" t="s">
        <v>76</v>
      </c>
      <c r="E1794" t="s">
        <v>4091</v>
      </c>
      <c r="F1794" t="str">
        <f>"00372864"</f>
        <v>00372864</v>
      </c>
      <c r="G1794" t="s">
        <v>1393</v>
      </c>
      <c r="H1794" t="s">
        <v>20</v>
      </c>
      <c r="I1794">
        <v>1498</v>
      </c>
      <c r="J1794" t="s">
        <v>21</v>
      </c>
      <c r="K1794">
        <v>0</v>
      </c>
      <c r="L1794" t="s">
        <v>35</v>
      </c>
      <c r="M1794">
        <v>1108</v>
      </c>
    </row>
    <row r="1795" spans="1:13">
      <c r="A1795">
        <v>1789</v>
      </c>
      <c r="B1795">
        <v>62783</v>
      </c>
      <c r="C1795" t="s">
        <v>4092</v>
      </c>
      <c r="D1795" t="s">
        <v>121</v>
      </c>
      <c r="E1795" t="s">
        <v>4093</v>
      </c>
      <c r="F1795" t="str">
        <f>"201406002890"</f>
        <v>201406002890</v>
      </c>
      <c r="G1795" t="s">
        <v>111</v>
      </c>
      <c r="H1795" t="s">
        <v>48</v>
      </c>
      <c r="I1795">
        <v>1620</v>
      </c>
      <c r="J1795" t="s">
        <v>21</v>
      </c>
      <c r="K1795">
        <v>0</v>
      </c>
      <c r="L1795" t="s">
        <v>112</v>
      </c>
      <c r="M1795">
        <v>800</v>
      </c>
    </row>
    <row r="1796" spans="1:13">
      <c r="A1796">
        <v>1790</v>
      </c>
      <c r="B1796">
        <v>94960</v>
      </c>
      <c r="C1796" t="s">
        <v>4094</v>
      </c>
      <c r="D1796" t="s">
        <v>1042</v>
      </c>
      <c r="E1796" t="s">
        <v>4095</v>
      </c>
      <c r="F1796" t="str">
        <f>"201511021726"</f>
        <v>201511021726</v>
      </c>
      <c r="G1796" t="s">
        <v>125</v>
      </c>
      <c r="H1796" t="s">
        <v>20</v>
      </c>
      <c r="I1796">
        <v>1507</v>
      </c>
      <c r="J1796" t="s">
        <v>21</v>
      </c>
      <c r="K1796">
        <v>0</v>
      </c>
      <c r="L1796" t="s">
        <v>88</v>
      </c>
      <c r="M1796">
        <v>750</v>
      </c>
    </row>
    <row r="1797" spans="1:13">
      <c r="A1797">
        <v>1791</v>
      </c>
      <c r="B1797">
        <v>74538</v>
      </c>
      <c r="C1797" t="s">
        <v>4096</v>
      </c>
      <c r="D1797" t="s">
        <v>4097</v>
      </c>
      <c r="E1797" t="s">
        <v>4098</v>
      </c>
      <c r="F1797" t="str">
        <f>"201510003206"</f>
        <v>201510003206</v>
      </c>
      <c r="G1797" t="s">
        <v>29</v>
      </c>
      <c r="H1797" t="s">
        <v>20</v>
      </c>
      <c r="I1797">
        <v>1446</v>
      </c>
      <c r="J1797" t="s">
        <v>21</v>
      </c>
      <c r="K1797">
        <v>0</v>
      </c>
      <c r="M1797">
        <v>1438</v>
      </c>
    </row>
    <row r="1798" spans="1:13">
      <c r="A1798">
        <v>1792</v>
      </c>
      <c r="B1798">
        <v>50048</v>
      </c>
      <c r="C1798" t="s">
        <v>4099</v>
      </c>
      <c r="D1798" t="s">
        <v>163</v>
      </c>
      <c r="E1798" t="s">
        <v>4100</v>
      </c>
      <c r="F1798" t="str">
        <f>"00251115"</f>
        <v>00251115</v>
      </c>
      <c r="G1798" t="s">
        <v>520</v>
      </c>
      <c r="H1798" t="s">
        <v>20</v>
      </c>
      <c r="I1798">
        <v>1540</v>
      </c>
      <c r="J1798" t="s">
        <v>21</v>
      </c>
      <c r="K1798">
        <v>0</v>
      </c>
      <c r="L1798" t="s">
        <v>35</v>
      </c>
      <c r="M1798">
        <v>958</v>
      </c>
    </row>
    <row r="1799" spans="1:13">
      <c r="A1799">
        <v>1793</v>
      </c>
      <c r="B1799">
        <v>102626</v>
      </c>
      <c r="C1799" t="s">
        <v>4101</v>
      </c>
      <c r="D1799" t="s">
        <v>180</v>
      </c>
      <c r="E1799" t="s">
        <v>4102</v>
      </c>
      <c r="F1799" t="str">
        <f>"00404961"</f>
        <v>00404961</v>
      </c>
      <c r="G1799" t="s">
        <v>1556</v>
      </c>
      <c r="H1799" t="s">
        <v>20</v>
      </c>
      <c r="I1799">
        <v>1530</v>
      </c>
      <c r="J1799" t="s">
        <v>21</v>
      </c>
      <c r="K1799">
        <v>0</v>
      </c>
      <c r="L1799" t="s">
        <v>83</v>
      </c>
      <c r="M1799">
        <v>1228</v>
      </c>
    </row>
    <row r="1800" spans="1:13">
      <c r="A1800">
        <v>1794</v>
      </c>
      <c r="B1800">
        <v>100563</v>
      </c>
      <c r="C1800" t="s">
        <v>4103</v>
      </c>
      <c r="D1800" t="s">
        <v>153</v>
      </c>
      <c r="E1800" t="s">
        <v>4104</v>
      </c>
      <c r="F1800" t="str">
        <f>"00368858"</f>
        <v>00368858</v>
      </c>
      <c r="G1800" t="s">
        <v>590</v>
      </c>
      <c r="H1800" t="s">
        <v>20</v>
      </c>
      <c r="I1800">
        <v>1451</v>
      </c>
      <c r="J1800" t="s">
        <v>21</v>
      </c>
      <c r="K1800">
        <v>0</v>
      </c>
      <c r="M1800">
        <v>1488</v>
      </c>
    </row>
    <row r="1801" spans="1:13">
      <c r="A1801">
        <v>1795</v>
      </c>
      <c r="B1801">
        <v>46546</v>
      </c>
      <c r="C1801" t="s">
        <v>4105</v>
      </c>
      <c r="D1801" t="s">
        <v>105</v>
      </c>
      <c r="E1801" t="s">
        <v>4106</v>
      </c>
      <c r="F1801" t="str">
        <f>"00343280"</f>
        <v>00343280</v>
      </c>
      <c r="G1801" t="s">
        <v>278</v>
      </c>
      <c r="H1801" t="s">
        <v>137</v>
      </c>
      <c r="I1801">
        <v>1605</v>
      </c>
      <c r="J1801" t="s">
        <v>21</v>
      </c>
      <c r="K1801">
        <v>0</v>
      </c>
      <c r="L1801" t="s">
        <v>59</v>
      </c>
      <c r="M1801">
        <v>1078</v>
      </c>
    </row>
    <row r="1802" spans="1:13">
      <c r="A1802">
        <v>1796</v>
      </c>
      <c r="B1802">
        <v>111265</v>
      </c>
      <c r="C1802" t="s">
        <v>4107</v>
      </c>
      <c r="D1802" t="s">
        <v>80</v>
      </c>
      <c r="E1802" t="s">
        <v>4108</v>
      </c>
      <c r="F1802" t="str">
        <f>"00246593"</f>
        <v>00246593</v>
      </c>
      <c r="G1802" t="s">
        <v>125</v>
      </c>
      <c r="H1802" t="s">
        <v>20</v>
      </c>
      <c r="I1802">
        <v>1507</v>
      </c>
      <c r="J1802" t="s">
        <v>21</v>
      </c>
      <c r="K1802">
        <v>0</v>
      </c>
      <c r="L1802" t="s">
        <v>35</v>
      </c>
      <c r="M1802">
        <v>950</v>
      </c>
    </row>
    <row r="1803" spans="1:13">
      <c r="A1803">
        <v>1797</v>
      </c>
      <c r="B1803">
        <v>73987</v>
      </c>
      <c r="C1803" t="s">
        <v>4109</v>
      </c>
      <c r="D1803" t="s">
        <v>76</v>
      </c>
      <c r="E1803" t="s">
        <v>4110</v>
      </c>
      <c r="F1803" t="str">
        <f>"00247071"</f>
        <v>00247071</v>
      </c>
      <c r="G1803" t="s">
        <v>1321</v>
      </c>
      <c r="H1803" t="s">
        <v>234</v>
      </c>
      <c r="I1803">
        <v>1330</v>
      </c>
      <c r="J1803" t="s">
        <v>21</v>
      </c>
      <c r="K1803">
        <v>0</v>
      </c>
      <c r="M1803">
        <v>1528</v>
      </c>
    </row>
    <row r="1804" spans="1:13">
      <c r="A1804">
        <v>1798</v>
      </c>
      <c r="B1804">
        <v>67087</v>
      </c>
      <c r="C1804" t="s">
        <v>4111</v>
      </c>
      <c r="D1804" t="s">
        <v>76</v>
      </c>
      <c r="E1804" t="s">
        <v>4112</v>
      </c>
      <c r="F1804" t="str">
        <f>"00256307"</f>
        <v>00256307</v>
      </c>
      <c r="G1804" t="s">
        <v>446</v>
      </c>
      <c r="H1804" t="s">
        <v>137</v>
      </c>
      <c r="I1804">
        <v>1602</v>
      </c>
      <c r="J1804" t="s">
        <v>21</v>
      </c>
      <c r="K1804">
        <v>0</v>
      </c>
      <c r="M1804">
        <v>1376</v>
      </c>
    </row>
    <row r="1805" spans="1:13">
      <c r="A1805">
        <v>1799</v>
      </c>
      <c r="B1805">
        <v>90216</v>
      </c>
      <c r="C1805" t="s">
        <v>4113</v>
      </c>
      <c r="D1805" t="s">
        <v>180</v>
      </c>
      <c r="E1805" t="s">
        <v>4114</v>
      </c>
      <c r="F1805" t="str">
        <f>"00423463"</f>
        <v>00423463</v>
      </c>
      <c r="G1805" t="s">
        <v>150</v>
      </c>
      <c r="H1805" t="s">
        <v>151</v>
      </c>
      <c r="I1805">
        <v>1699</v>
      </c>
      <c r="J1805" t="s">
        <v>21</v>
      </c>
      <c r="K1805">
        <v>0</v>
      </c>
      <c r="L1805" t="s">
        <v>35</v>
      </c>
      <c r="M1805">
        <v>1036</v>
      </c>
    </row>
    <row r="1806" spans="1:13">
      <c r="A1806">
        <v>1800</v>
      </c>
      <c r="B1806">
        <v>82844</v>
      </c>
      <c r="C1806" t="s">
        <v>4115</v>
      </c>
      <c r="D1806" t="s">
        <v>507</v>
      </c>
      <c r="E1806" t="s">
        <v>4116</v>
      </c>
      <c r="F1806" t="str">
        <f>"00371106"</f>
        <v>00371106</v>
      </c>
      <c r="G1806" t="s">
        <v>883</v>
      </c>
      <c r="H1806" t="s">
        <v>270</v>
      </c>
      <c r="I1806">
        <v>1585</v>
      </c>
      <c r="J1806" t="s">
        <v>21</v>
      </c>
      <c r="K1806">
        <v>0</v>
      </c>
      <c r="L1806" t="s">
        <v>35</v>
      </c>
      <c r="M1806">
        <v>1108</v>
      </c>
    </row>
    <row r="1807" spans="1:13">
      <c r="A1807">
        <v>1801</v>
      </c>
      <c r="B1807">
        <v>46215</v>
      </c>
      <c r="C1807" t="s">
        <v>4117</v>
      </c>
      <c r="D1807" t="s">
        <v>218</v>
      </c>
      <c r="E1807" t="s">
        <v>4118</v>
      </c>
      <c r="F1807" t="str">
        <f>"201511010859"</f>
        <v>201511010859</v>
      </c>
      <c r="G1807" t="s">
        <v>150</v>
      </c>
      <c r="H1807" t="s">
        <v>151</v>
      </c>
      <c r="I1807">
        <v>1699</v>
      </c>
      <c r="J1807" t="s">
        <v>21</v>
      </c>
      <c r="K1807">
        <v>0</v>
      </c>
      <c r="M1807">
        <v>1308</v>
      </c>
    </row>
    <row r="1808" spans="1:13">
      <c r="A1808">
        <v>1802</v>
      </c>
      <c r="B1808">
        <v>65128</v>
      </c>
      <c r="C1808" t="s">
        <v>4119</v>
      </c>
      <c r="D1808" t="s">
        <v>563</v>
      </c>
      <c r="E1808" t="s">
        <v>4120</v>
      </c>
      <c r="F1808" t="str">
        <f>"00244488"</f>
        <v>00244488</v>
      </c>
      <c r="G1808" t="s">
        <v>150</v>
      </c>
      <c r="H1808" t="s">
        <v>151</v>
      </c>
      <c r="I1808">
        <v>1699</v>
      </c>
      <c r="J1808" t="s">
        <v>21</v>
      </c>
      <c r="K1808">
        <v>0</v>
      </c>
      <c r="L1808" t="s">
        <v>83</v>
      </c>
      <c r="M1808">
        <v>1228</v>
      </c>
    </row>
    <row r="1809" spans="1:13">
      <c r="A1809">
        <v>1803</v>
      </c>
      <c r="B1809">
        <v>70594</v>
      </c>
      <c r="C1809" t="s">
        <v>4121</v>
      </c>
      <c r="D1809" t="s">
        <v>180</v>
      </c>
      <c r="E1809" t="s">
        <v>4122</v>
      </c>
      <c r="F1809" t="str">
        <f>"00373627"</f>
        <v>00373627</v>
      </c>
      <c r="G1809" t="s">
        <v>111</v>
      </c>
      <c r="H1809" t="s">
        <v>48</v>
      </c>
      <c r="I1809">
        <v>1620</v>
      </c>
      <c r="J1809" t="s">
        <v>21</v>
      </c>
      <c r="K1809">
        <v>0</v>
      </c>
      <c r="M1809">
        <v>1553</v>
      </c>
    </row>
    <row r="1810" spans="1:13">
      <c r="A1810">
        <v>1804</v>
      </c>
      <c r="B1810">
        <v>57333</v>
      </c>
      <c r="C1810" t="s">
        <v>4123</v>
      </c>
      <c r="D1810" t="s">
        <v>153</v>
      </c>
      <c r="E1810" t="s">
        <v>4124</v>
      </c>
      <c r="F1810" t="str">
        <f>"00358435"</f>
        <v>00358435</v>
      </c>
      <c r="G1810" t="s">
        <v>258</v>
      </c>
      <c r="H1810" t="s">
        <v>20</v>
      </c>
      <c r="I1810">
        <v>1484</v>
      </c>
      <c r="J1810" t="s">
        <v>21</v>
      </c>
      <c r="K1810">
        <v>0</v>
      </c>
      <c r="L1810" t="s">
        <v>112</v>
      </c>
      <c r="M1810">
        <v>808</v>
      </c>
    </row>
    <row r="1811" spans="1:13">
      <c r="A1811">
        <v>1805</v>
      </c>
      <c r="B1811">
        <v>115506</v>
      </c>
      <c r="C1811" t="s">
        <v>4125</v>
      </c>
      <c r="D1811" t="s">
        <v>102</v>
      </c>
      <c r="E1811" t="s">
        <v>4126</v>
      </c>
      <c r="F1811" t="str">
        <f>"00400782"</f>
        <v>00400782</v>
      </c>
      <c r="G1811" t="s">
        <v>395</v>
      </c>
      <c r="H1811" t="s">
        <v>234</v>
      </c>
      <c r="I1811">
        <v>1336</v>
      </c>
      <c r="J1811" t="s">
        <v>21</v>
      </c>
      <c r="K1811">
        <v>0</v>
      </c>
      <c r="L1811" t="s">
        <v>88</v>
      </c>
      <c r="M1811">
        <v>857</v>
      </c>
    </row>
    <row r="1812" spans="1:13">
      <c r="A1812">
        <v>1806</v>
      </c>
      <c r="B1812">
        <v>115749</v>
      </c>
      <c r="C1812" t="s">
        <v>4127</v>
      </c>
      <c r="D1812" t="s">
        <v>516</v>
      </c>
      <c r="E1812" t="s">
        <v>4128</v>
      </c>
      <c r="F1812" t="str">
        <f>"00418566"</f>
        <v>00418566</v>
      </c>
      <c r="G1812" t="s">
        <v>892</v>
      </c>
      <c r="H1812" t="s">
        <v>20</v>
      </c>
      <c r="I1812">
        <v>1410</v>
      </c>
      <c r="J1812" t="s">
        <v>21</v>
      </c>
      <c r="K1812">
        <v>0</v>
      </c>
      <c r="L1812" t="s">
        <v>35</v>
      </c>
      <c r="M1812">
        <v>950</v>
      </c>
    </row>
    <row r="1813" spans="1:13">
      <c r="A1813">
        <v>1807</v>
      </c>
      <c r="B1813">
        <v>61298</v>
      </c>
      <c r="C1813" t="s">
        <v>4129</v>
      </c>
      <c r="D1813" t="s">
        <v>105</v>
      </c>
      <c r="E1813" t="s">
        <v>4130</v>
      </c>
      <c r="F1813" t="str">
        <f>"201511019604"</f>
        <v>201511019604</v>
      </c>
      <c r="G1813" t="s">
        <v>488</v>
      </c>
      <c r="H1813" t="s">
        <v>20</v>
      </c>
      <c r="I1813">
        <v>1482</v>
      </c>
      <c r="J1813" t="s">
        <v>21</v>
      </c>
      <c r="K1813">
        <v>0</v>
      </c>
      <c r="L1813" t="s">
        <v>88</v>
      </c>
      <c r="M1813">
        <v>600</v>
      </c>
    </row>
    <row r="1814" spans="1:13">
      <c r="A1814">
        <v>1808</v>
      </c>
      <c r="B1814">
        <v>58214</v>
      </c>
      <c r="C1814" t="s">
        <v>4129</v>
      </c>
      <c r="D1814" t="s">
        <v>121</v>
      </c>
      <c r="E1814" t="s">
        <v>4131</v>
      </c>
      <c r="F1814" t="str">
        <f>"00263504"</f>
        <v>00263504</v>
      </c>
      <c r="G1814" t="s">
        <v>150</v>
      </c>
      <c r="H1814" t="s">
        <v>151</v>
      </c>
      <c r="I1814">
        <v>1699</v>
      </c>
      <c r="J1814" t="s">
        <v>21</v>
      </c>
      <c r="K1814">
        <v>0</v>
      </c>
      <c r="L1814" t="s">
        <v>35</v>
      </c>
      <c r="M1814">
        <v>833</v>
      </c>
    </row>
    <row r="1815" spans="1:13">
      <c r="A1815">
        <v>1809</v>
      </c>
      <c r="B1815">
        <v>83713</v>
      </c>
      <c r="C1815" t="s">
        <v>4132</v>
      </c>
      <c r="D1815" t="s">
        <v>121</v>
      </c>
      <c r="E1815" t="s">
        <v>4133</v>
      </c>
      <c r="F1815" t="str">
        <f>"201511017079"</f>
        <v>201511017079</v>
      </c>
      <c r="G1815" t="s">
        <v>24</v>
      </c>
      <c r="H1815" t="s">
        <v>20</v>
      </c>
      <c r="I1815">
        <v>1577</v>
      </c>
      <c r="J1815" t="s">
        <v>21</v>
      </c>
      <c r="K1815">
        <v>0</v>
      </c>
      <c r="L1815" t="s">
        <v>35</v>
      </c>
      <c r="M1815">
        <v>931</v>
      </c>
    </row>
    <row r="1816" spans="1:13">
      <c r="A1816">
        <v>1810</v>
      </c>
      <c r="B1816">
        <v>53076</v>
      </c>
      <c r="C1816" t="s">
        <v>4134</v>
      </c>
      <c r="D1816" t="s">
        <v>76</v>
      </c>
      <c r="E1816" t="s">
        <v>4135</v>
      </c>
      <c r="F1816" t="str">
        <f>"00255967"</f>
        <v>00255967</v>
      </c>
      <c r="G1816" t="s">
        <v>883</v>
      </c>
      <c r="H1816" t="s">
        <v>270</v>
      </c>
      <c r="I1816">
        <v>1585</v>
      </c>
      <c r="J1816" t="s">
        <v>21</v>
      </c>
      <c r="K1816">
        <v>0</v>
      </c>
      <c r="M1816">
        <v>1528</v>
      </c>
    </row>
    <row r="1817" spans="1:13">
      <c r="A1817">
        <v>1811</v>
      </c>
      <c r="B1817">
        <v>73440</v>
      </c>
      <c r="C1817" t="s">
        <v>4136</v>
      </c>
      <c r="D1817" t="s">
        <v>76</v>
      </c>
      <c r="E1817" t="s">
        <v>4137</v>
      </c>
      <c r="F1817" t="str">
        <f>"00376283"</f>
        <v>00376283</v>
      </c>
      <c r="G1817" t="s">
        <v>527</v>
      </c>
      <c r="H1817" t="s">
        <v>20</v>
      </c>
      <c r="I1817">
        <v>1568</v>
      </c>
      <c r="J1817" t="s">
        <v>21</v>
      </c>
      <c r="K1817">
        <v>0</v>
      </c>
      <c r="L1817" t="s">
        <v>35</v>
      </c>
      <c r="M1817">
        <v>908</v>
      </c>
    </row>
    <row r="1818" spans="1:13">
      <c r="A1818">
        <v>1812</v>
      </c>
      <c r="B1818">
        <v>102367</v>
      </c>
      <c r="C1818" t="s">
        <v>4138</v>
      </c>
      <c r="D1818" t="s">
        <v>288</v>
      </c>
      <c r="E1818" t="s">
        <v>4139</v>
      </c>
      <c r="F1818" t="str">
        <f>"00389844"</f>
        <v>00389844</v>
      </c>
      <c r="G1818" t="s">
        <v>883</v>
      </c>
      <c r="H1818" t="s">
        <v>270</v>
      </c>
      <c r="I1818">
        <v>1585</v>
      </c>
      <c r="J1818" t="s">
        <v>21</v>
      </c>
      <c r="K1818">
        <v>0</v>
      </c>
      <c r="L1818" t="s">
        <v>35</v>
      </c>
      <c r="M1818">
        <v>1208</v>
      </c>
    </row>
    <row r="1819" spans="1:13">
      <c r="A1819">
        <v>1813</v>
      </c>
      <c r="B1819">
        <v>98155</v>
      </c>
      <c r="C1819" t="s">
        <v>4140</v>
      </c>
      <c r="D1819" t="s">
        <v>218</v>
      </c>
      <c r="E1819" t="s">
        <v>4141</v>
      </c>
      <c r="F1819" t="str">
        <f>"00386803"</f>
        <v>00386803</v>
      </c>
      <c r="G1819" t="s">
        <v>125</v>
      </c>
      <c r="H1819" t="s">
        <v>20</v>
      </c>
      <c r="I1819">
        <v>1507</v>
      </c>
      <c r="J1819" t="s">
        <v>21</v>
      </c>
      <c r="K1819">
        <v>0</v>
      </c>
      <c r="M1819">
        <v>1628</v>
      </c>
    </row>
    <row r="1820" spans="1:13">
      <c r="A1820">
        <v>1814</v>
      </c>
      <c r="B1820">
        <v>53706</v>
      </c>
      <c r="C1820" t="s">
        <v>4142</v>
      </c>
      <c r="D1820" t="s">
        <v>276</v>
      </c>
      <c r="E1820" t="s">
        <v>4143</v>
      </c>
      <c r="F1820" t="str">
        <f>"00077953"</f>
        <v>00077953</v>
      </c>
      <c r="G1820" t="s">
        <v>488</v>
      </c>
      <c r="H1820" t="s">
        <v>20</v>
      </c>
      <c r="I1820">
        <v>1482</v>
      </c>
      <c r="J1820" t="s">
        <v>21</v>
      </c>
      <c r="K1820">
        <v>0</v>
      </c>
      <c r="L1820" t="s">
        <v>59</v>
      </c>
      <c r="M1820">
        <v>988</v>
      </c>
    </row>
    <row r="1821" spans="1:13">
      <c r="A1821">
        <v>1815</v>
      </c>
      <c r="B1821">
        <v>112546</v>
      </c>
      <c r="C1821" t="s">
        <v>4144</v>
      </c>
      <c r="D1821" t="s">
        <v>65</v>
      </c>
      <c r="E1821" t="s">
        <v>4145</v>
      </c>
      <c r="F1821" t="str">
        <f>"00419382"</f>
        <v>00419382</v>
      </c>
      <c r="G1821" t="s">
        <v>1561</v>
      </c>
      <c r="H1821" t="s">
        <v>20</v>
      </c>
      <c r="I1821">
        <v>1505</v>
      </c>
      <c r="J1821" t="s">
        <v>21</v>
      </c>
      <c r="K1821">
        <v>0</v>
      </c>
      <c r="M1821">
        <v>1788</v>
      </c>
    </row>
    <row r="1822" spans="1:13">
      <c r="A1822">
        <v>1816</v>
      </c>
      <c r="B1822">
        <v>65439</v>
      </c>
      <c r="C1822" t="s">
        <v>4146</v>
      </c>
      <c r="D1822" t="s">
        <v>209</v>
      </c>
      <c r="E1822" t="s">
        <v>4147</v>
      </c>
      <c r="F1822" t="str">
        <f>"00354649"</f>
        <v>00354649</v>
      </c>
      <c r="G1822" t="s">
        <v>111</v>
      </c>
      <c r="H1822" t="s">
        <v>48</v>
      </c>
      <c r="I1822">
        <v>1620</v>
      </c>
      <c r="J1822" t="s">
        <v>21</v>
      </c>
      <c r="K1822">
        <v>0</v>
      </c>
      <c r="M1822">
        <v>1588</v>
      </c>
    </row>
    <row r="1823" spans="1:13">
      <c r="A1823">
        <v>1817</v>
      </c>
      <c r="B1823">
        <v>75719</v>
      </c>
      <c r="C1823" t="s">
        <v>4148</v>
      </c>
      <c r="D1823" t="s">
        <v>205</v>
      </c>
      <c r="E1823" t="s">
        <v>4149</v>
      </c>
      <c r="F1823" t="str">
        <f>"00390016"</f>
        <v>00390016</v>
      </c>
      <c r="G1823" t="s">
        <v>329</v>
      </c>
      <c r="H1823" t="s">
        <v>20</v>
      </c>
      <c r="I1823">
        <v>1509</v>
      </c>
      <c r="J1823" t="s">
        <v>21</v>
      </c>
      <c r="K1823">
        <v>0</v>
      </c>
      <c r="M1823">
        <v>1381</v>
      </c>
    </row>
    <row r="1824" spans="1:13">
      <c r="A1824">
        <v>1818</v>
      </c>
      <c r="B1824">
        <v>56166</v>
      </c>
      <c r="C1824" t="s">
        <v>4150</v>
      </c>
      <c r="D1824" t="s">
        <v>205</v>
      </c>
      <c r="E1824" t="s">
        <v>4151</v>
      </c>
      <c r="F1824" t="str">
        <f>"00372716"</f>
        <v>00372716</v>
      </c>
      <c r="G1824" t="s">
        <v>798</v>
      </c>
      <c r="H1824" t="s">
        <v>326</v>
      </c>
      <c r="I1824">
        <v>1593</v>
      </c>
      <c r="J1824" t="s">
        <v>21</v>
      </c>
      <c r="K1824">
        <v>0</v>
      </c>
      <c r="L1824" t="s">
        <v>35</v>
      </c>
      <c r="M1824">
        <v>1137</v>
      </c>
    </row>
    <row r="1825" spans="1:13">
      <c r="A1825">
        <v>1819</v>
      </c>
      <c r="B1825">
        <v>104270</v>
      </c>
      <c r="C1825" t="s">
        <v>4152</v>
      </c>
      <c r="D1825" t="s">
        <v>105</v>
      </c>
      <c r="E1825" t="s">
        <v>4153</v>
      </c>
      <c r="F1825" t="str">
        <f>"00375484"</f>
        <v>00375484</v>
      </c>
      <c r="G1825" t="s">
        <v>1561</v>
      </c>
      <c r="H1825" t="s">
        <v>1562</v>
      </c>
      <c r="I1825">
        <v>1616</v>
      </c>
      <c r="J1825" t="s">
        <v>21</v>
      </c>
      <c r="K1825">
        <v>0</v>
      </c>
      <c r="M1825">
        <v>1528</v>
      </c>
    </row>
    <row r="1826" spans="1:13">
      <c r="A1826">
        <v>1820</v>
      </c>
      <c r="B1826">
        <v>58808</v>
      </c>
      <c r="C1826" t="s">
        <v>4154</v>
      </c>
      <c r="D1826" t="s">
        <v>243</v>
      </c>
      <c r="E1826" t="s">
        <v>4155</v>
      </c>
      <c r="F1826" t="str">
        <f>"00293873"</f>
        <v>00293873</v>
      </c>
      <c r="G1826" t="s">
        <v>1890</v>
      </c>
      <c r="H1826" t="s">
        <v>3499</v>
      </c>
      <c r="I1826">
        <v>1672</v>
      </c>
      <c r="J1826" t="s">
        <v>21</v>
      </c>
      <c r="K1826">
        <v>0</v>
      </c>
      <c r="L1826" t="s">
        <v>35</v>
      </c>
      <c r="M1826">
        <v>958</v>
      </c>
    </row>
    <row r="1827" spans="1:13">
      <c r="A1827">
        <v>1821</v>
      </c>
      <c r="B1827">
        <v>77499</v>
      </c>
      <c r="C1827" t="s">
        <v>4156</v>
      </c>
      <c r="D1827" t="s">
        <v>85</v>
      </c>
      <c r="E1827" t="s">
        <v>4157</v>
      </c>
      <c r="F1827" t="str">
        <f>"00319586"</f>
        <v>00319586</v>
      </c>
      <c r="G1827" t="s">
        <v>125</v>
      </c>
      <c r="H1827" t="s">
        <v>20</v>
      </c>
      <c r="I1827">
        <v>1507</v>
      </c>
      <c r="J1827" t="s">
        <v>21</v>
      </c>
      <c r="K1827">
        <v>0</v>
      </c>
      <c r="L1827" t="s">
        <v>83</v>
      </c>
      <c r="M1827">
        <v>1388</v>
      </c>
    </row>
    <row r="1828" spans="1:13">
      <c r="A1828">
        <v>1822</v>
      </c>
      <c r="B1828">
        <v>54282</v>
      </c>
      <c r="C1828" t="s">
        <v>4158</v>
      </c>
      <c r="D1828" t="s">
        <v>218</v>
      </c>
      <c r="E1828" t="s">
        <v>4159</v>
      </c>
      <c r="F1828" t="str">
        <f>"00286998"</f>
        <v>00286998</v>
      </c>
      <c r="G1828" t="s">
        <v>47</v>
      </c>
      <c r="H1828" t="s">
        <v>48</v>
      </c>
      <c r="I1828">
        <v>1623</v>
      </c>
      <c r="J1828" t="s">
        <v>21</v>
      </c>
      <c r="K1828">
        <v>0</v>
      </c>
      <c r="L1828" t="s">
        <v>35</v>
      </c>
      <c r="M1828">
        <v>975</v>
      </c>
    </row>
    <row r="1829" spans="1:13">
      <c r="A1829">
        <v>1823</v>
      </c>
      <c r="B1829">
        <v>108759</v>
      </c>
      <c r="C1829" t="s">
        <v>4160</v>
      </c>
      <c r="D1829" t="s">
        <v>180</v>
      </c>
      <c r="E1829" t="s">
        <v>4161</v>
      </c>
      <c r="F1829" t="str">
        <f>"00417623"</f>
        <v>00417623</v>
      </c>
      <c r="G1829" t="s">
        <v>125</v>
      </c>
      <c r="H1829" t="s">
        <v>20</v>
      </c>
      <c r="I1829">
        <v>1507</v>
      </c>
      <c r="J1829" t="s">
        <v>21</v>
      </c>
      <c r="K1829">
        <v>0</v>
      </c>
      <c r="L1829" t="s">
        <v>83</v>
      </c>
      <c r="M1829">
        <v>1278</v>
      </c>
    </row>
    <row r="1830" spans="1:13">
      <c r="A1830">
        <v>1824</v>
      </c>
      <c r="B1830">
        <v>61088</v>
      </c>
      <c r="C1830" t="s">
        <v>4162</v>
      </c>
      <c r="D1830" t="s">
        <v>121</v>
      </c>
      <c r="E1830" t="s">
        <v>4163</v>
      </c>
      <c r="F1830" t="str">
        <f>"00356798"</f>
        <v>00356798</v>
      </c>
      <c r="G1830" t="s">
        <v>170</v>
      </c>
      <c r="H1830" t="s">
        <v>20</v>
      </c>
      <c r="I1830">
        <v>1412</v>
      </c>
      <c r="J1830" t="s">
        <v>21</v>
      </c>
      <c r="K1830">
        <v>0</v>
      </c>
      <c r="L1830" t="s">
        <v>35</v>
      </c>
      <c r="M1830">
        <v>1175</v>
      </c>
    </row>
    <row r="1831" spans="1:13">
      <c r="A1831">
        <v>1825</v>
      </c>
      <c r="B1831">
        <v>112313</v>
      </c>
      <c r="C1831" t="s">
        <v>4164</v>
      </c>
      <c r="D1831" t="s">
        <v>90</v>
      </c>
      <c r="E1831" t="s">
        <v>4165</v>
      </c>
      <c r="F1831" t="str">
        <f>"00418578"</f>
        <v>00418578</v>
      </c>
      <c r="G1831" t="s">
        <v>47</v>
      </c>
      <c r="H1831" t="s">
        <v>48</v>
      </c>
      <c r="I1831">
        <v>1623</v>
      </c>
      <c r="J1831" t="s">
        <v>21</v>
      </c>
      <c r="K1831">
        <v>0</v>
      </c>
      <c r="L1831" t="s">
        <v>35</v>
      </c>
      <c r="M1831">
        <v>908</v>
      </c>
    </row>
    <row r="1832" spans="1:13">
      <c r="A1832">
        <v>1826</v>
      </c>
      <c r="B1832">
        <v>62020</v>
      </c>
      <c r="C1832" t="s">
        <v>4166</v>
      </c>
      <c r="D1832" t="s">
        <v>121</v>
      </c>
      <c r="E1832" t="s">
        <v>4167</v>
      </c>
      <c r="F1832" t="str">
        <f>"00246927"</f>
        <v>00246927</v>
      </c>
      <c r="G1832" t="s">
        <v>709</v>
      </c>
      <c r="H1832" t="s">
        <v>20</v>
      </c>
      <c r="I1832">
        <v>1413</v>
      </c>
      <c r="J1832" t="s">
        <v>21</v>
      </c>
      <c r="K1832">
        <v>0</v>
      </c>
      <c r="M1832">
        <v>1428</v>
      </c>
    </row>
    <row r="1833" spans="1:13">
      <c r="A1833">
        <v>1827</v>
      </c>
      <c r="B1833">
        <v>81379</v>
      </c>
      <c r="C1833" t="s">
        <v>4168</v>
      </c>
      <c r="D1833" t="s">
        <v>80</v>
      </c>
      <c r="E1833" t="s">
        <v>4169</v>
      </c>
      <c r="F1833" t="str">
        <f>"00289818"</f>
        <v>00289818</v>
      </c>
      <c r="G1833" t="s">
        <v>1084</v>
      </c>
      <c r="H1833" t="s">
        <v>1085</v>
      </c>
      <c r="I1833">
        <v>1588</v>
      </c>
      <c r="J1833" t="s">
        <v>21</v>
      </c>
      <c r="K1833">
        <v>0</v>
      </c>
      <c r="M1833">
        <v>1388</v>
      </c>
    </row>
    <row r="1834" spans="1:13">
      <c r="A1834">
        <v>1828</v>
      </c>
      <c r="B1834">
        <v>110217</v>
      </c>
      <c r="C1834" t="s">
        <v>4170</v>
      </c>
      <c r="D1834" t="s">
        <v>139</v>
      </c>
      <c r="E1834" t="s">
        <v>4171</v>
      </c>
      <c r="F1834" t="str">
        <f>"00420081"</f>
        <v>00420081</v>
      </c>
      <c r="G1834" t="s">
        <v>365</v>
      </c>
      <c r="H1834" t="s">
        <v>366</v>
      </c>
      <c r="I1834">
        <v>1692</v>
      </c>
      <c r="J1834" t="s">
        <v>21</v>
      </c>
      <c r="K1834">
        <v>0</v>
      </c>
      <c r="L1834" t="s">
        <v>88</v>
      </c>
      <c r="M1834">
        <v>800</v>
      </c>
    </row>
    <row r="1835" spans="1:13">
      <c r="A1835">
        <v>1829</v>
      </c>
      <c r="B1835">
        <v>97060</v>
      </c>
      <c r="C1835" t="s">
        <v>4172</v>
      </c>
      <c r="D1835" t="s">
        <v>1492</v>
      </c>
      <c r="E1835" t="s">
        <v>4173</v>
      </c>
      <c r="F1835" t="str">
        <f>"00375756"</f>
        <v>00375756</v>
      </c>
      <c r="G1835" t="s">
        <v>82</v>
      </c>
      <c r="H1835" t="s">
        <v>20</v>
      </c>
      <c r="I1835">
        <v>1475</v>
      </c>
      <c r="J1835" t="s">
        <v>21</v>
      </c>
      <c r="K1835">
        <v>0</v>
      </c>
      <c r="L1835" t="s">
        <v>35</v>
      </c>
      <c r="M1835">
        <v>1008</v>
      </c>
    </row>
    <row r="1836" spans="1:13">
      <c r="A1836">
        <v>1830</v>
      </c>
      <c r="B1836">
        <v>76903</v>
      </c>
      <c r="C1836" t="s">
        <v>4174</v>
      </c>
      <c r="D1836" t="s">
        <v>105</v>
      </c>
      <c r="E1836" t="s">
        <v>4175</v>
      </c>
      <c r="F1836" t="str">
        <f>"00358026"</f>
        <v>00358026</v>
      </c>
      <c r="G1836" t="s">
        <v>1165</v>
      </c>
      <c r="H1836" t="s">
        <v>20</v>
      </c>
      <c r="I1836">
        <v>1422</v>
      </c>
      <c r="J1836" t="s">
        <v>21</v>
      </c>
      <c r="K1836">
        <v>0</v>
      </c>
      <c r="M1836">
        <v>1588</v>
      </c>
    </row>
    <row r="1837" spans="1:13">
      <c r="A1837">
        <v>1831</v>
      </c>
      <c r="B1837">
        <v>55847</v>
      </c>
      <c r="C1837" t="s">
        <v>4176</v>
      </c>
      <c r="D1837" t="s">
        <v>76</v>
      </c>
      <c r="E1837" t="s">
        <v>4177</v>
      </c>
      <c r="F1837" t="str">
        <f>"00260686"</f>
        <v>00260686</v>
      </c>
      <c r="G1837" t="s">
        <v>47</v>
      </c>
      <c r="H1837" t="s">
        <v>48</v>
      </c>
      <c r="I1837">
        <v>1623</v>
      </c>
      <c r="J1837" t="s">
        <v>21</v>
      </c>
      <c r="K1837">
        <v>0</v>
      </c>
      <c r="M1837">
        <v>1438</v>
      </c>
    </row>
    <row r="1838" spans="1:13">
      <c r="A1838">
        <v>1832</v>
      </c>
      <c r="B1838">
        <v>47038</v>
      </c>
      <c r="C1838" t="s">
        <v>4178</v>
      </c>
      <c r="D1838" t="s">
        <v>80</v>
      </c>
      <c r="E1838" t="s">
        <v>4179</v>
      </c>
      <c r="F1838" t="str">
        <f>"00369617"</f>
        <v>00369617</v>
      </c>
      <c r="G1838" t="s">
        <v>47</v>
      </c>
      <c r="H1838" t="s">
        <v>48</v>
      </c>
      <c r="I1838">
        <v>1623</v>
      </c>
      <c r="J1838" t="s">
        <v>21</v>
      </c>
      <c r="K1838">
        <v>0</v>
      </c>
      <c r="L1838" t="s">
        <v>112</v>
      </c>
      <c r="M1838">
        <v>850</v>
      </c>
    </row>
    <row r="1839" spans="1:13">
      <c r="A1839">
        <v>1833</v>
      </c>
      <c r="B1839">
        <v>73450</v>
      </c>
      <c r="C1839" t="s">
        <v>4180</v>
      </c>
      <c r="D1839" t="s">
        <v>80</v>
      </c>
      <c r="E1839" t="s">
        <v>4181</v>
      </c>
      <c r="F1839" t="str">
        <f>"00391029"</f>
        <v>00391029</v>
      </c>
      <c r="G1839" t="s">
        <v>24</v>
      </c>
      <c r="H1839" t="s">
        <v>20</v>
      </c>
      <c r="I1839">
        <v>1577</v>
      </c>
      <c r="J1839" t="s">
        <v>21</v>
      </c>
      <c r="K1839">
        <v>0</v>
      </c>
      <c r="M1839">
        <v>1434</v>
      </c>
    </row>
    <row r="1840" spans="1:13">
      <c r="A1840">
        <v>1834</v>
      </c>
      <c r="B1840">
        <v>56697</v>
      </c>
      <c r="C1840" t="s">
        <v>4182</v>
      </c>
      <c r="D1840" t="s">
        <v>80</v>
      </c>
      <c r="E1840" t="s">
        <v>4183</v>
      </c>
      <c r="F1840" t="str">
        <f>"00258263"</f>
        <v>00258263</v>
      </c>
      <c r="G1840" t="s">
        <v>47</v>
      </c>
      <c r="H1840" t="s">
        <v>48</v>
      </c>
      <c r="I1840">
        <v>1623</v>
      </c>
      <c r="J1840" t="s">
        <v>21</v>
      </c>
      <c r="K1840">
        <v>0</v>
      </c>
      <c r="M1840">
        <v>1363</v>
      </c>
    </row>
    <row r="1841" spans="1:13">
      <c r="A1841">
        <v>1835</v>
      </c>
      <c r="B1841">
        <v>50488</v>
      </c>
      <c r="C1841" t="s">
        <v>4184</v>
      </c>
      <c r="D1841" t="s">
        <v>80</v>
      </c>
      <c r="E1841" t="s">
        <v>4185</v>
      </c>
      <c r="F1841" t="str">
        <f>"00369705"</f>
        <v>00369705</v>
      </c>
      <c r="G1841" t="s">
        <v>42</v>
      </c>
      <c r="H1841" t="s">
        <v>43</v>
      </c>
      <c r="I1841">
        <v>1712</v>
      </c>
      <c r="J1841" t="s">
        <v>21</v>
      </c>
      <c r="K1841">
        <v>0</v>
      </c>
      <c r="L1841" t="s">
        <v>35</v>
      </c>
      <c r="M1841">
        <v>1300</v>
      </c>
    </row>
    <row r="1842" spans="1:13">
      <c r="A1842">
        <v>1836</v>
      </c>
      <c r="B1842">
        <v>93287</v>
      </c>
      <c r="C1842" t="s">
        <v>4186</v>
      </c>
      <c r="D1842" t="s">
        <v>205</v>
      </c>
      <c r="E1842" t="s">
        <v>4187</v>
      </c>
      <c r="F1842" t="str">
        <f>"00410686"</f>
        <v>00410686</v>
      </c>
      <c r="G1842" t="s">
        <v>47</v>
      </c>
      <c r="H1842" t="s">
        <v>48</v>
      </c>
      <c r="I1842">
        <v>1623</v>
      </c>
      <c r="J1842" t="s">
        <v>21</v>
      </c>
      <c r="K1842">
        <v>0</v>
      </c>
      <c r="L1842" t="s">
        <v>35</v>
      </c>
      <c r="M1842">
        <v>883</v>
      </c>
    </row>
    <row r="1843" spans="1:13">
      <c r="A1843">
        <v>1837</v>
      </c>
      <c r="B1843">
        <v>46260</v>
      </c>
      <c r="C1843" t="s">
        <v>4188</v>
      </c>
      <c r="D1843" t="s">
        <v>243</v>
      </c>
      <c r="E1843" t="s">
        <v>4189</v>
      </c>
      <c r="F1843" t="str">
        <f>"200802006636"</f>
        <v>200802006636</v>
      </c>
      <c r="G1843" t="s">
        <v>67</v>
      </c>
      <c r="H1843" t="s">
        <v>20</v>
      </c>
      <c r="I1843">
        <v>1434</v>
      </c>
      <c r="J1843" t="s">
        <v>21</v>
      </c>
      <c r="K1843">
        <v>0</v>
      </c>
      <c r="M1843">
        <v>1504</v>
      </c>
    </row>
    <row r="1844" spans="1:13">
      <c r="A1844">
        <v>1838</v>
      </c>
      <c r="B1844">
        <v>74561</v>
      </c>
      <c r="C1844" t="s">
        <v>4190</v>
      </c>
      <c r="D1844" t="s">
        <v>2467</v>
      </c>
      <c r="E1844" t="s">
        <v>4191</v>
      </c>
      <c r="F1844" t="str">
        <f>"00390436"</f>
        <v>00390436</v>
      </c>
      <c r="G1844" t="s">
        <v>107</v>
      </c>
      <c r="H1844" t="s">
        <v>20</v>
      </c>
      <c r="I1844">
        <v>1472</v>
      </c>
      <c r="J1844" t="s">
        <v>21</v>
      </c>
      <c r="K1844">
        <v>0</v>
      </c>
      <c r="L1844" t="s">
        <v>35</v>
      </c>
      <c r="M1844">
        <v>972</v>
      </c>
    </row>
    <row r="1845" spans="1:13">
      <c r="A1845">
        <v>1839</v>
      </c>
      <c r="B1845">
        <v>109818</v>
      </c>
      <c r="C1845" t="s">
        <v>4192</v>
      </c>
      <c r="D1845" t="s">
        <v>3880</v>
      </c>
      <c r="E1845" t="s">
        <v>4193</v>
      </c>
      <c r="F1845" t="str">
        <f>"00421136"</f>
        <v>00421136</v>
      </c>
      <c r="G1845" t="s">
        <v>184</v>
      </c>
      <c r="H1845" t="s">
        <v>185</v>
      </c>
      <c r="I1845">
        <v>1595</v>
      </c>
      <c r="J1845" t="s">
        <v>21</v>
      </c>
      <c r="K1845">
        <v>0</v>
      </c>
      <c r="L1845" t="s">
        <v>35</v>
      </c>
      <c r="M1845">
        <v>1108</v>
      </c>
    </row>
    <row r="1846" spans="1:13">
      <c r="A1846">
        <v>1840</v>
      </c>
      <c r="B1846">
        <v>106661</v>
      </c>
      <c r="C1846" t="s">
        <v>4194</v>
      </c>
      <c r="D1846" t="s">
        <v>80</v>
      </c>
      <c r="E1846" t="s">
        <v>4195</v>
      </c>
      <c r="F1846" t="str">
        <f>"00389649"</f>
        <v>00389649</v>
      </c>
      <c r="G1846" t="s">
        <v>1995</v>
      </c>
      <c r="H1846" t="s">
        <v>20</v>
      </c>
      <c r="I1846">
        <v>1508</v>
      </c>
      <c r="J1846" t="s">
        <v>21</v>
      </c>
      <c r="K1846">
        <v>0</v>
      </c>
      <c r="L1846" t="s">
        <v>59</v>
      </c>
      <c r="M1846">
        <v>988</v>
      </c>
    </row>
    <row r="1847" spans="1:13">
      <c r="A1847">
        <v>1841</v>
      </c>
      <c r="B1847">
        <v>69884</v>
      </c>
      <c r="C1847" t="s">
        <v>4196</v>
      </c>
      <c r="D1847" t="s">
        <v>243</v>
      </c>
      <c r="E1847" t="s">
        <v>4197</v>
      </c>
      <c r="F1847" t="str">
        <f>"00397135"</f>
        <v>00397135</v>
      </c>
      <c r="G1847" t="s">
        <v>150</v>
      </c>
      <c r="H1847" t="s">
        <v>151</v>
      </c>
      <c r="I1847">
        <v>1699</v>
      </c>
      <c r="J1847" t="s">
        <v>21</v>
      </c>
      <c r="K1847">
        <v>0</v>
      </c>
      <c r="L1847" t="s">
        <v>35</v>
      </c>
      <c r="M1847">
        <v>900</v>
      </c>
    </row>
    <row r="1848" spans="1:13">
      <c r="A1848">
        <v>1842</v>
      </c>
      <c r="B1848">
        <v>67336</v>
      </c>
      <c r="C1848" t="s">
        <v>4198</v>
      </c>
      <c r="D1848" t="s">
        <v>65</v>
      </c>
      <c r="E1848" t="s">
        <v>4199</v>
      </c>
      <c r="F1848" t="str">
        <f>"00239595"</f>
        <v>00239595</v>
      </c>
      <c r="G1848" t="s">
        <v>955</v>
      </c>
      <c r="H1848" t="s">
        <v>48</v>
      </c>
      <c r="I1848">
        <v>1630</v>
      </c>
      <c r="J1848" t="s">
        <v>21</v>
      </c>
      <c r="K1848">
        <v>0</v>
      </c>
      <c r="M1848">
        <v>1368</v>
      </c>
    </row>
    <row r="1849" spans="1:13">
      <c r="A1849">
        <v>1843</v>
      </c>
      <c r="B1849">
        <v>77753</v>
      </c>
      <c r="C1849" t="s">
        <v>4200</v>
      </c>
      <c r="D1849" t="s">
        <v>4201</v>
      </c>
      <c r="E1849" t="s">
        <v>4202</v>
      </c>
      <c r="F1849" t="str">
        <f>"00386815"</f>
        <v>00386815</v>
      </c>
      <c r="G1849" t="s">
        <v>299</v>
      </c>
      <c r="H1849" t="s">
        <v>20</v>
      </c>
      <c r="I1849">
        <v>1490</v>
      </c>
      <c r="J1849" t="s">
        <v>21</v>
      </c>
      <c r="K1849">
        <v>0</v>
      </c>
      <c r="M1849">
        <v>1368</v>
      </c>
    </row>
    <row r="1850" spans="1:13">
      <c r="A1850">
        <v>1844</v>
      </c>
      <c r="B1850">
        <v>66236</v>
      </c>
      <c r="C1850" t="s">
        <v>4203</v>
      </c>
      <c r="D1850" t="s">
        <v>90</v>
      </c>
      <c r="E1850" t="s">
        <v>4204</v>
      </c>
      <c r="F1850" t="str">
        <f>"201511009680"</f>
        <v>201511009680</v>
      </c>
      <c r="G1850" t="s">
        <v>38</v>
      </c>
      <c r="H1850" t="s">
        <v>39</v>
      </c>
      <c r="I1850">
        <v>1634</v>
      </c>
      <c r="J1850" t="s">
        <v>21</v>
      </c>
      <c r="K1850">
        <v>6</v>
      </c>
      <c r="L1850" t="s">
        <v>35</v>
      </c>
      <c r="M1850">
        <v>775</v>
      </c>
    </row>
    <row r="1851" spans="1:13">
      <c r="A1851">
        <v>1845</v>
      </c>
      <c r="B1851">
        <v>74840</v>
      </c>
      <c r="C1851" t="s">
        <v>4205</v>
      </c>
      <c r="D1851" t="s">
        <v>180</v>
      </c>
      <c r="E1851" t="s">
        <v>4206</v>
      </c>
      <c r="F1851" t="str">
        <f>"00375785"</f>
        <v>00375785</v>
      </c>
      <c r="G1851" t="s">
        <v>465</v>
      </c>
      <c r="H1851" t="s">
        <v>20</v>
      </c>
      <c r="I1851">
        <v>1534</v>
      </c>
      <c r="J1851" t="s">
        <v>21</v>
      </c>
      <c r="K1851">
        <v>0</v>
      </c>
      <c r="L1851" t="s">
        <v>35</v>
      </c>
      <c r="M1851">
        <v>858</v>
      </c>
    </row>
    <row r="1852" spans="1:13">
      <c r="A1852">
        <v>1846</v>
      </c>
      <c r="B1852">
        <v>115021</v>
      </c>
      <c r="C1852" t="s">
        <v>4207</v>
      </c>
      <c r="D1852" t="s">
        <v>288</v>
      </c>
      <c r="E1852" t="s">
        <v>4208</v>
      </c>
      <c r="F1852" t="str">
        <f>"00404091"</f>
        <v>00404091</v>
      </c>
      <c r="G1852" t="s">
        <v>488</v>
      </c>
      <c r="H1852" t="s">
        <v>20</v>
      </c>
      <c r="I1852">
        <v>1482</v>
      </c>
      <c r="J1852" t="s">
        <v>21</v>
      </c>
      <c r="K1852">
        <v>0</v>
      </c>
      <c r="L1852" t="s">
        <v>112</v>
      </c>
      <c r="M1852">
        <v>825</v>
      </c>
    </row>
    <row r="1853" spans="1:13">
      <c r="A1853">
        <v>1847</v>
      </c>
      <c r="B1853">
        <v>114012</v>
      </c>
      <c r="C1853" t="s">
        <v>4209</v>
      </c>
      <c r="D1853" t="s">
        <v>391</v>
      </c>
      <c r="F1853" t="str">
        <f>"00418081"</f>
        <v>00418081</v>
      </c>
      <c r="G1853" t="s">
        <v>561</v>
      </c>
      <c r="H1853" t="s">
        <v>20</v>
      </c>
      <c r="I1853">
        <v>1574</v>
      </c>
      <c r="J1853" t="s">
        <v>21</v>
      </c>
      <c r="K1853">
        <v>0</v>
      </c>
      <c r="L1853" t="s">
        <v>35</v>
      </c>
      <c r="M1853">
        <v>1100</v>
      </c>
    </row>
    <row r="1854" spans="1:13">
      <c r="A1854">
        <v>1848</v>
      </c>
      <c r="B1854">
        <v>80025</v>
      </c>
      <c r="C1854" t="s">
        <v>4210</v>
      </c>
      <c r="D1854" t="s">
        <v>80</v>
      </c>
      <c r="E1854" t="s">
        <v>4211</v>
      </c>
      <c r="F1854" t="str">
        <f>"00373760"</f>
        <v>00373760</v>
      </c>
      <c r="G1854" t="s">
        <v>2031</v>
      </c>
      <c r="H1854" t="s">
        <v>137</v>
      </c>
      <c r="I1854">
        <v>1610</v>
      </c>
      <c r="J1854" t="s">
        <v>21</v>
      </c>
      <c r="K1854">
        <v>0</v>
      </c>
      <c r="M1854">
        <v>1668</v>
      </c>
    </row>
    <row r="1855" spans="1:13">
      <c r="A1855">
        <v>1849</v>
      </c>
      <c r="B1855">
        <v>111662</v>
      </c>
      <c r="C1855" t="s">
        <v>4212</v>
      </c>
      <c r="D1855" t="s">
        <v>243</v>
      </c>
      <c r="E1855" t="s">
        <v>4213</v>
      </c>
      <c r="F1855" t="str">
        <f>"00417391"</f>
        <v>00417391</v>
      </c>
      <c r="G1855" t="s">
        <v>380</v>
      </c>
      <c r="H1855" t="s">
        <v>137</v>
      </c>
      <c r="I1855">
        <v>1615</v>
      </c>
      <c r="J1855" t="s">
        <v>21</v>
      </c>
      <c r="K1855">
        <v>0</v>
      </c>
      <c r="L1855" t="s">
        <v>35</v>
      </c>
      <c r="M1855">
        <v>1011</v>
      </c>
    </row>
    <row r="1856" spans="1:13">
      <c r="A1856">
        <v>1850</v>
      </c>
      <c r="B1856">
        <v>78939</v>
      </c>
      <c r="C1856" t="s">
        <v>4214</v>
      </c>
      <c r="D1856" t="s">
        <v>76</v>
      </c>
      <c r="E1856" t="s">
        <v>4215</v>
      </c>
      <c r="F1856" t="str">
        <f>"00403857"</f>
        <v>00403857</v>
      </c>
      <c r="G1856" t="s">
        <v>125</v>
      </c>
      <c r="H1856" t="s">
        <v>20</v>
      </c>
      <c r="I1856">
        <v>1507</v>
      </c>
      <c r="J1856" t="s">
        <v>21</v>
      </c>
      <c r="K1856">
        <v>0</v>
      </c>
      <c r="M1856">
        <v>1428</v>
      </c>
    </row>
    <row r="1857" spans="1:13">
      <c r="A1857">
        <v>1851</v>
      </c>
      <c r="B1857">
        <v>55420</v>
      </c>
      <c r="C1857" t="s">
        <v>4216</v>
      </c>
      <c r="D1857" t="s">
        <v>218</v>
      </c>
      <c r="E1857" t="s">
        <v>4217</v>
      </c>
      <c r="F1857" t="str">
        <f>"00333667"</f>
        <v>00333667</v>
      </c>
      <c r="G1857" t="s">
        <v>87</v>
      </c>
      <c r="H1857" t="s">
        <v>20</v>
      </c>
      <c r="I1857">
        <v>1436</v>
      </c>
      <c r="J1857" t="s">
        <v>21</v>
      </c>
      <c r="K1857">
        <v>0</v>
      </c>
      <c r="M1857">
        <v>1466</v>
      </c>
    </row>
    <row r="1858" spans="1:13">
      <c r="A1858">
        <v>1852</v>
      </c>
      <c r="B1858">
        <v>83552</v>
      </c>
      <c r="C1858" t="s">
        <v>4218</v>
      </c>
      <c r="D1858" t="s">
        <v>105</v>
      </c>
      <c r="E1858" t="s">
        <v>4219</v>
      </c>
      <c r="F1858" t="str">
        <f>"00398012"</f>
        <v>00398012</v>
      </c>
      <c r="G1858" t="s">
        <v>4039</v>
      </c>
      <c r="H1858" t="s">
        <v>137</v>
      </c>
      <c r="I1858">
        <v>1611</v>
      </c>
      <c r="J1858" t="s">
        <v>21</v>
      </c>
      <c r="K1858">
        <v>7</v>
      </c>
      <c r="L1858" t="s">
        <v>35</v>
      </c>
      <c r="M1858">
        <v>620</v>
      </c>
    </row>
    <row r="1859" spans="1:13">
      <c r="A1859">
        <v>1853</v>
      </c>
      <c r="B1859">
        <v>100780</v>
      </c>
      <c r="C1859" t="s">
        <v>4220</v>
      </c>
      <c r="D1859" t="s">
        <v>288</v>
      </c>
      <c r="E1859" t="s">
        <v>4221</v>
      </c>
      <c r="F1859" t="str">
        <f>"00390939"</f>
        <v>00390939</v>
      </c>
      <c r="G1859" t="s">
        <v>610</v>
      </c>
      <c r="H1859" t="s">
        <v>20</v>
      </c>
      <c r="I1859">
        <v>1429</v>
      </c>
      <c r="J1859" t="s">
        <v>21</v>
      </c>
      <c r="K1859">
        <v>0</v>
      </c>
      <c r="L1859" t="s">
        <v>35</v>
      </c>
      <c r="M1859">
        <v>908</v>
      </c>
    </row>
    <row r="1860" spans="1:13">
      <c r="A1860">
        <v>1854</v>
      </c>
      <c r="B1860">
        <v>95995</v>
      </c>
      <c r="C1860" t="s">
        <v>4222</v>
      </c>
      <c r="D1860" t="s">
        <v>76</v>
      </c>
      <c r="E1860" t="s">
        <v>4223</v>
      </c>
      <c r="F1860" t="str">
        <f>"201511004586"</f>
        <v>201511004586</v>
      </c>
      <c r="G1860" t="s">
        <v>1245</v>
      </c>
      <c r="H1860" t="s">
        <v>20</v>
      </c>
      <c r="I1860">
        <v>1527</v>
      </c>
      <c r="J1860" t="s">
        <v>21</v>
      </c>
      <c r="K1860">
        <v>0</v>
      </c>
      <c r="L1860" t="s">
        <v>35</v>
      </c>
      <c r="M1860">
        <v>1108</v>
      </c>
    </row>
    <row r="1861" spans="1:13">
      <c r="A1861">
        <v>1855</v>
      </c>
      <c r="B1861">
        <v>87473</v>
      </c>
      <c r="C1861" t="s">
        <v>4224</v>
      </c>
      <c r="D1861" t="s">
        <v>529</v>
      </c>
      <c r="E1861" t="s">
        <v>4225</v>
      </c>
      <c r="F1861" t="str">
        <f>"00207221"</f>
        <v>00207221</v>
      </c>
      <c r="G1861" t="s">
        <v>547</v>
      </c>
      <c r="H1861" t="s">
        <v>274</v>
      </c>
      <c r="I1861">
        <v>1384</v>
      </c>
      <c r="J1861" t="s">
        <v>21</v>
      </c>
      <c r="K1861">
        <v>6</v>
      </c>
      <c r="L1861" t="s">
        <v>59</v>
      </c>
      <c r="M1861">
        <v>636</v>
      </c>
    </row>
    <row r="1862" spans="1:13">
      <c r="A1862">
        <v>1856</v>
      </c>
      <c r="B1862">
        <v>80178</v>
      </c>
      <c r="C1862" t="s">
        <v>4226</v>
      </c>
      <c r="D1862" t="s">
        <v>145</v>
      </c>
      <c r="E1862" t="s">
        <v>4227</v>
      </c>
      <c r="F1862" t="str">
        <f>"00295235"</f>
        <v>00295235</v>
      </c>
      <c r="G1862" t="s">
        <v>38</v>
      </c>
      <c r="H1862" t="s">
        <v>39</v>
      </c>
      <c r="I1862">
        <v>1634</v>
      </c>
      <c r="J1862" t="s">
        <v>21</v>
      </c>
      <c r="K1862">
        <v>6</v>
      </c>
      <c r="M1862">
        <v>1428</v>
      </c>
    </row>
    <row r="1863" spans="1:13">
      <c r="A1863">
        <v>1857</v>
      </c>
      <c r="B1863">
        <v>99131</v>
      </c>
      <c r="C1863" t="s">
        <v>4228</v>
      </c>
      <c r="D1863" t="s">
        <v>90</v>
      </c>
      <c r="E1863" t="s">
        <v>4229</v>
      </c>
      <c r="F1863" t="str">
        <f>"00266561"</f>
        <v>00266561</v>
      </c>
      <c r="G1863" t="s">
        <v>38</v>
      </c>
      <c r="H1863" t="s">
        <v>39</v>
      </c>
      <c r="I1863">
        <v>1634</v>
      </c>
      <c r="J1863" t="s">
        <v>21</v>
      </c>
      <c r="K1863">
        <v>6</v>
      </c>
      <c r="M1863">
        <v>1188</v>
      </c>
    </row>
    <row r="1864" spans="1:13">
      <c r="A1864">
        <v>1858</v>
      </c>
      <c r="B1864">
        <v>47143</v>
      </c>
      <c r="C1864" t="s">
        <v>4230</v>
      </c>
      <c r="D1864" t="s">
        <v>205</v>
      </c>
      <c r="E1864" t="s">
        <v>4231</v>
      </c>
      <c r="F1864" t="str">
        <f>"00293695"</f>
        <v>00293695</v>
      </c>
      <c r="G1864" t="s">
        <v>155</v>
      </c>
      <c r="H1864" t="s">
        <v>156</v>
      </c>
      <c r="I1864">
        <v>1342</v>
      </c>
      <c r="J1864" t="s">
        <v>21</v>
      </c>
      <c r="K1864">
        <v>0</v>
      </c>
      <c r="M1864">
        <v>1528</v>
      </c>
    </row>
    <row r="1865" spans="1:13">
      <c r="A1865">
        <v>1859</v>
      </c>
      <c r="B1865">
        <v>89145</v>
      </c>
      <c r="C1865" t="s">
        <v>4232</v>
      </c>
      <c r="D1865" t="s">
        <v>4233</v>
      </c>
      <c r="E1865" t="s">
        <v>4234</v>
      </c>
      <c r="F1865" t="str">
        <f>"00335150"</f>
        <v>00335150</v>
      </c>
      <c r="G1865" t="s">
        <v>230</v>
      </c>
      <c r="H1865" t="s">
        <v>20</v>
      </c>
      <c r="I1865">
        <v>1545</v>
      </c>
      <c r="J1865" t="s">
        <v>21</v>
      </c>
      <c r="K1865">
        <v>0</v>
      </c>
      <c r="L1865" t="s">
        <v>25</v>
      </c>
      <c r="M1865">
        <v>1228</v>
      </c>
    </row>
    <row r="1866" spans="1:13">
      <c r="A1866">
        <v>1860</v>
      </c>
      <c r="B1866">
        <v>78249</v>
      </c>
      <c r="C1866" t="s">
        <v>4235</v>
      </c>
      <c r="D1866" t="s">
        <v>1001</v>
      </c>
      <c r="E1866" t="s">
        <v>4236</v>
      </c>
      <c r="F1866" t="str">
        <f>"00400305"</f>
        <v>00400305</v>
      </c>
      <c r="G1866" t="s">
        <v>691</v>
      </c>
      <c r="H1866" t="s">
        <v>241</v>
      </c>
      <c r="I1866">
        <v>1360</v>
      </c>
      <c r="J1866" t="s">
        <v>21</v>
      </c>
      <c r="K1866">
        <v>0</v>
      </c>
      <c r="L1866" t="s">
        <v>88</v>
      </c>
      <c r="M1866">
        <v>708</v>
      </c>
    </row>
    <row r="1867" spans="1:13">
      <c r="A1867">
        <v>1861</v>
      </c>
      <c r="B1867">
        <v>86208</v>
      </c>
      <c r="C1867" t="s">
        <v>4237</v>
      </c>
      <c r="D1867" t="s">
        <v>566</v>
      </c>
      <c r="E1867" t="s">
        <v>4238</v>
      </c>
      <c r="F1867" t="str">
        <f>"00394587"</f>
        <v>00394587</v>
      </c>
      <c r="G1867" t="s">
        <v>488</v>
      </c>
      <c r="H1867" t="s">
        <v>20</v>
      </c>
      <c r="I1867">
        <v>1482</v>
      </c>
      <c r="J1867" t="s">
        <v>21</v>
      </c>
      <c r="K1867">
        <v>0</v>
      </c>
      <c r="L1867" t="s">
        <v>112</v>
      </c>
      <c r="M1867">
        <v>808</v>
      </c>
    </row>
    <row r="1868" spans="1:13">
      <c r="A1868">
        <v>1862</v>
      </c>
      <c r="B1868">
        <v>74206</v>
      </c>
      <c r="C1868" t="s">
        <v>4239</v>
      </c>
      <c r="D1868" t="s">
        <v>209</v>
      </c>
      <c r="E1868" t="s">
        <v>4240</v>
      </c>
      <c r="F1868" t="str">
        <f>"00376177"</f>
        <v>00376177</v>
      </c>
      <c r="G1868" t="s">
        <v>721</v>
      </c>
      <c r="H1868" t="s">
        <v>20</v>
      </c>
      <c r="I1868">
        <v>1575</v>
      </c>
      <c r="J1868" t="s">
        <v>21</v>
      </c>
      <c r="K1868">
        <v>0</v>
      </c>
      <c r="L1868" t="s">
        <v>35</v>
      </c>
      <c r="M1868">
        <v>904</v>
      </c>
    </row>
    <row r="1869" spans="1:13">
      <c r="A1869">
        <v>1863</v>
      </c>
      <c r="B1869">
        <v>101818</v>
      </c>
      <c r="C1869" t="s">
        <v>4241</v>
      </c>
      <c r="D1869" t="s">
        <v>243</v>
      </c>
      <c r="E1869" t="s">
        <v>4242</v>
      </c>
      <c r="F1869" t="str">
        <f>"00257418"</f>
        <v>00257418</v>
      </c>
      <c r="G1869" t="s">
        <v>47</v>
      </c>
      <c r="H1869" t="s">
        <v>48</v>
      </c>
      <c r="I1869">
        <v>1623</v>
      </c>
      <c r="J1869" t="s">
        <v>21</v>
      </c>
      <c r="K1869">
        <v>0</v>
      </c>
      <c r="M1869">
        <v>1328</v>
      </c>
    </row>
    <row r="1870" spans="1:13">
      <c r="A1870">
        <v>1864</v>
      </c>
      <c r="B1870">
        <v>50262</v>
      </c>
      <c r="C1870" t="s">
        <v>4243</v>
      </c>
      <c r="D1870" t="s">
        <v>105</v>
      </c>
      <c r="E1870" t="s">
        <v>4244</v>
      </c>
      <c r="F1870" t="str">
        <f>"00319683"</f>
        <v>00319683</v>
      </c>
      <c r="G1870" t="s">
        <v>371</v>
      </c>
      <c r="H1870" t="s">
        <v>20</v>
      </c>
      <c r="I1870">
        <v>1526</v>
      </c>
      <c r="J1870" t="s">
        <v>21</v>
      </c>
      <c r="K1870">
        <v>6</v>
      </c>
      <c r="M1870">
        <v>967</v>
      </c>
    </row>
    <row r="1871" spans="1:13">
      <c r="A1871">
        <v>1865</v>
      </c>
      <c r="B1871">
        <v>48108</v>
      </c>
      <c r="C1871" t="s">
        <v>4245</v>
      </c>
      <c r="D1871" t="s">
        <v>90</v>
      </c>
      <c r="E1871" t="s">
        <v>4246</v>
      </c>
      <c r="F1871" t="str">
        <f>"00268495"</f>
        <v>00268495</v>
      </c>
      <c r="G1871" t="s">
        <v>733</v>
      </c>
      <c r="H1871" t="s">
        <v>734</v>
      </c>
      <c r="I1871">
        <v>1596</v>
      </c>
      <c r="J1871" t="s">
        <v>21</v>
      </c>
      <c r="K1871">
        <v>0</v>
      </c>
      <c r="L1871" t="s">
        <v>35</v>
      </c>
      <c r="M1871">
        <v>1075</v>
      </c>
    </row>
    <row r="1872" spans="1:13">
      <c r="A1872">
        <v>1866</v>
      </c>
      <c r="B1872">
        <v>67346</v>
      </c>
      <c r="C1872" t="s">
        <v>4247</v>
      </c>
      <c r="D1872" t="s">
        <v>105</v>
      </c>
      <c r="E1872" t="s">
        <v>4248</v>
      </c>
      <c r="F1872" t="str">
        <f>"201512000418"</f>
        <v>201512000418</v>
      </c>
      <c r="G1872" t="s">
        <v>329</v>
      </c>
      <c r="H1872" t="s">
        <v>20</v>
      </c>
      <c r="I1872">
        <v>1509</v>
      </c>
      <c r="J1872" t="s">
        <v>21</v>
      </c>
      <c r="K1872">
        <v>0</v>
      </c>
      <c r="L1872" t="s">
        <v>35</v>
      </c>
      <c r="M1872">
        <v>975</v>
      </c>
    </row>
    <row r="1873" spans="1:13">
      <c r="A1873">
        <v>1867</v>
      </c>
      <c r="B1873">
        <v>96452</v>
      </c>
      <c r="C1873" t="s">
        <v>4249</v>
      </c>
      <c r="D1873" t="s">
        <v>105</v>
      </c>
      <c r="E1873" t="s">
        <v>4250</v>
      </c>
      <c r="F1873" t="str">
        <f>"00327257"</f>
        <v>00327257</v>
      </c>
      <c r="G1873" t="s">
        <v>713</v>
      </c>
      <c r="H1873" t="s">
        <v>366</v>
      </c>
      <c r="I1873">
        <v>1690</v>
      </c>
      <c r="J1873" t="s">
        <v>21</v>
      </c>
      <c r="K1873">
        <v>0</v>
      </c>
      <c r="M1873">
        <v>1688</v>
      </c>
    </row>
    <row r="1874" spans="1:13">
      <c r="A1874">
        <v>1868</v>
      </c>
      <c r="B1874">
        <v>58891</v>
      </c>
      <c r="C1874" t="s">
        <v>4251</v>
      </c>
      <c r="D1874" t="s">
        <v>90</v>
      </c>
      <c r="E1874" t="s">
        <v>4252</v>
      </c>
      <c r="F1874" t="str">
        <f>"00358509"</f>
        <v>00358509</v>
      </c>
      <c r="G1874" t="s">
        <v>150</v>
      </c>
      <c r="H1874" t="s">
        <v>151</v>
      </c>
      <c r="I1874">
        <v>1699</v>
      </c>
      <c r="J1874" t="s">
        <v>21</v>
      </c>
      <c r="K1874">
        <v>0</v>
      </c>
      <c r="L1874" t="s">
        <v>35</v>
      </c>
      <c r="M1874">
        <v>908</v>
      </c>
    </row>
    <row r="1875" spans="1:13">
      <c r="A1875">
        <v>1869</v>
      </c>
      <c r="B1875">
        <v>97656</v>
      </c>
      <c r="C1875" t="s">
        <v>4253</v>
      </c>
      <c r="D1875" t="s">
        <v>180</v>
      </c>
      <c r="E1875" t="s">
        <v>4254</v>
      </c>
      <c r="F1875" t="str">
        <f>"00396861"</f>
        <v>00396861</v>
      </c>
      <c r="G1875" t="s">
        <v>709</v>
      </c>
      <c r="H1875" t="s">
        <v>20</v>
      </c>
      <c r="I1875">
        <v>1413</v>
      </c>
      <c r="J1875" t="s">
        <v>21</v>
      </c>
      <c r="K1875">
        <v>0</v>
      </c>
      <c r="M1875">
        <v>1381</v>
      </c>
    </row>
    <row r="1876" spans="1:13">
      <c r="A1876">
        <v>1870</v>
      </c>
      <c r="B1876">
        <v>110583</v>
      </c>
      <c r="C1876" t="s">
        <v>4255</v>
      </c>
      <c r="D1876" t="s">
        <v>180</v>
      </c>
      <c r="E1876" t="s">
        <v>4256</v>
      </c>
      <c r="F1876" t="str">
        <f>"00336319"</f>
        <v>00336319</v>
      </c>
      <c r="G1876" t="s">
        <v>47</v>
      </c>
      <c r="H1876" t="s">
        <v>48</v>
      </c>
      <c r="I1876">
        <v>1623</v>
      </c>
      <c r="J1876" t="s">
        <v>21</v>
      </c>
      <c r="K1876">
        <v>0</v>
      </c>
      <c r="L1876" t="s">
        <v>59</v>
      </c>
      <c r="M1876">
        <v>1088</v>
      </c>
    </row>
    <row r="1877" spans="1:13">
      <c r="A1877">
        <v>1871</v>
      </c>
      <c r="B1877">
        <v>54986</v>
      </c>
      <c r="C1877" t="s">
        <v>4257</v>
      </c>
      <c r="D1877" t="s">
        <v>80</v>
      </c>
      <c r="E1877" t="s">
        <v>4258</v>
      </c>
      <c r="F1877" t="str">
        <f>"00016107"</f>
        <v>00016107</v>
      </c>
      <c r="G1877" t="s">
        <v>488</v>
      </c>
      <c r="H1877" t="s">
        <v>20</v>
      </c>
      <c r="I1877">
        <v>1482</v>
      </c>
      <c r="J1877" t="s">
        <v>21</v>
      </c>
      <c r="K1877">
        <v>0</v>
      </c>
      <c r="L1877" t="s">
        <v>35</v>
      </c>
      <c r="M1877">
        <v>1208</v>
      </c>
    </row>
    <row r="1878" spans="1:13">
      <c r="A1878">
        <v>1872</v>
      </c>
      <c r="B1878">
        <v>50862</v>
      </c>
      <c r="C1878" t="s">
        <v>4259</v>
      </c>
      <c r="D1878" t="s">
        <v>700</v>
      </c>
      <c r="E1878" t="s">
        <v>4260</v>
      </c>
      <c r="F1878" t="str">
        <f>"00253257"</f>
        <v>00253257</v>
      </c>
      <c r="G1878" t="s">
        <v>107</v>
      </c>
      <c r="H1878" t="s">
        <v>20</v>
      </c>
      <c r="I1878">
        <v>1472</v>
      </c>
      <c r="J1878" t="s">
        <v>21</v>
      </c>
      <c r="K1878">
        <v>0</v>
      </c>
      <c r="L1878" t="s">
        <v>35</v>
      </c>
      <c r="M1878">
        <v>908</v>
      </c>
    </row>
    <row r="1879" spans="1:13">
      <c r="A1879">
        <v>1873</v>
      </c>
      <c r="B1879">
        <v>82614</v>
      </c>
      <c r="C1879" t="s">
        <v>4261</v>
      </c>
      <c r="D1879" t="s">
        <v>105</v>
      </c>
      <c r="E1879" t="s">
        <v>4262</v>
      </c>
      <c r="F1879" t="str">
        <f>"201511015194"</f>
        <v>201511015194</v>
      </c>
      <c r="G1879" t="s">
        <v>107</v>
      </c>
      <c r="H1879" t="s">
        <v>20</v>
      </c>
      <c r="I1879">
        <v>1472</v>
      </c>
      <c r="J1879" t="s">
        <v>21</v>
      </c>
      <c r="K1879">
        <v>0</v>
      </c>
      <c r="L1879" t="s">
        <v>35</v>
      </c>
      <c r="M1879">
        <v>922</v>
      </c>
    </row>
    <row r="1880" spans="1:13">
      <c r="A1880">
        <v>1874</v>
      </c>
      <c r="B1880">
        <v>47728</v>
      </c>
      <c r="C1880" t="s">
        <v>4263</v>
      </c>
      <c r="D1880" t="s">
        <v>238</v>
      </c>
      <c r="E1880" t="s">
        <v>4264</v>
      </c>
      <c r="F1880" t="str">
        <f>"00367753"</f>
        <v>00367753</v>
      </c>
      <c r="G1880" t="s">
        <v>1695</v>
      </c>
      <c r="H1880" t="s">
        <v>20</v>
      </c>
      <c r="I1880">
        <v>1533</v>
      </c>
      <c r="J1880" t="s">
        <v>21</v>
      </c>
      <c r="K1880">
        <v>0</v>
      </c>
      <c r="M1880">
        <v>1488</v>
      </c>
    </row>
    <row r="1881" spans="1:13">
      <c r="A1881">
        <v>1875</v>
      </c>
      <c r="B1881">
        <v>83785</v>
      </c>
      <c r="C1881" t="s">
        <v>4265</v>
      </c>
      <c r="D1881" t="s">
        <v>76</v>
      </c>
      <c r="E1881" t="s">
        <v>4266</v>
      </c>
      <c r="F1881" t="str">
        <f>"00406831"</f>
        <v>00406831</v>
      </c>
      <c r="G1881" t="s">
        <v>1682</v>
      </c>
      <c r="H1881" t="s">
        <v>241</v>
      </c>
      <c r="I1881">
        <v>1363</v>
      </c>
      <c r="J1881" t="s">
        <v>21</v>
      </c>
      <c r="K1881">
        <v>0</v>
      </c>
      <c r="M1881">
        <v>1638</v>
      </c>
    </row>
    <row r="1882" spans="1:13">
      <c r="A1882">
        <v>1876</v>
      </c>
      <c r="B1882">
        <v>109810</v>
      </c>
      <c r="C1882" t="s">
        <v>4267</v>
      </c>
      <c r="D1882" t="s">
        <v>4268</v>
      </c>
      <c r="E1882" t="s">
        <v>4269</v>
      </c>
      <c r="F1882" t="str">
        <f>"00198644"</f>
        <v>00198644</v>
      </c>
      <c r="G1882" t="s">
        <v>284</v>
      </c>
      <c r="H1882" t="s">
        <v>270</v>
      </c>
      <c r="I1882">
        <v>1586</v>
      </c>
      <c r="J1882" t="s">
        <v>21</v>
      </c>
      <c r="K1882">
        <v>0</v>
      </c>
      <c r="M1882">
        <v>1528</v>
      </c>
    </row>
    <row r="1883" spans="1:13">
      <c r="A1883">
        <v>1877</v>
      </c>
      <c r="B1883">
        <v>62070</v>
      </c>
      <c r="C1883" t="s">
        <v>4270</v>
      </c>
      <c r="D1883" t="s">
        <v>914</v>
      </c>
      <c r="E1883" t="s">
        <v>4271</v>
      </c>
      <c r="F1883" t="str">
        <f>"00268239"</f>
        <v>00268239</v>
      </c>
      <c r="G1883" t="s">
        <v>82</v>
      </c>
      <c r="H1883" t="s">
        <v>20</v>
      </c>
      <c r="I1883">
        <v>1475</v>
      </c>
      <c r="J1883" t="s">
        <v>21</v>
      </c>
      <c r="K1883">
        <v>0</v>
      </c>
      <c r="L1883" t="s">
        <v>59</v>
      </c>
      <c r="M1883">
        <v>928</v>
      </c>
    </row>
    <row r="1884" spans="1:13">
      <c r="A1884">
        <v>1878</v>
      </c>
      <c r="B1884">
        <v>105052</v>
      </c>
      <c r="C1884" t="s">
        <v>4272</v>
      </c>
      <c r="D1884" t="s">
        <v>218</v>
      </c>
      <c r="E1884" t="s">
        <v>4273</v>
      </c>
      <c r="F1884" t="str">
        <f>"00343503"</f>
        <v>00343503</v>
      </c>
      <c r="G1884" t="s">
        <v>561</v>
      </c>
      <c r="H1884" t="s">
        <v>20</v>
      </c>
      <c r="I1884">
        <v>1574</v>
      </c>
      <c r="J1884" t="s">
        <v>21</v>
      </c>
      <c r="K1884">
        <v>0</v>
      </c>
      <c r="L1884" t="s">
        <v>88</v>
      </c>
      <c r="M1884">
        <v>500</v>
      </c>
    </row>
    <row r="1885" spans="1:13">
      <c r="A1885">
        <v>1879</v>
      </c>
      <c r="B1885">
        <v>54721</v>
      </c>
      <c r="C1885" t="s">
        <v>4274</v>
      </c>
      <c r="D1885" t="s">
        <v>163</v>
      </c>
      <c r="E1885" t="s">
        <v>4275</v>
      </c>
      <c r="F1885" t="str">
        <f>"00345939"</f>
        <v>00345939</v>
      </c>
      <c r="G1885" t="s">
        <v>107</v>
      </c>
      <c r="H1885" t="s">
        <v>20</v>
      </c>
      <c r="I1885">
        <v>1472</v>
      </c>
      <c r="J1885" t="s">
        <v>21</v>
      </c>
      <c r="K1885">
        <v>0</v>
      </c>
      <c r="M1885">
        <v>1428</v>
      </c>
    </row>
    <row r="1886" spans="1:13">
      <c r="A1886">
        <v>1880</v>
      </c>
      <c r="B1886">
        <v>50593</v>
      </c>
      <c r="C1886" t="s">
        <v>4276</v>
      </c>
      <c r="D1886" t="s">
        <v>2264</v>
      </c>
      <c r="E1886" t="s">
        <v>4277</v>
      </c>
      <c r="F1886" t="str">
        <f>"00355893"</f>
        <v>00355893</v>
      </c>
      <c r="G1886" t="s">
        <v>107</v>
      </c>
      <c r="H1886" t="s">
        <v>20</v>
      </c>
      <c r="I1886">
        <v>1472</v>
      </c>
      <c r="J1886" t="s">
        <v>21</v>
      </c>
      <c r="K1886">
        <v>0</v>
      </c>
      <c r="L1886" t="s">
        <v>35</v>
      </c>
      <c r="M1886">
        <v>935</v>
      </c>
    </row>
    <row r="1887" spans="1:13">
      <c r="A1887">
        <v>1881</v>
      </c>
      <c r="B1887">
        <v>88527</v>
      </c>
      <c r="C1887" t="s">
        <v>4278</v>
      </c>
      <c r="D1887" t="s">
        <v>90</v>
      </c>
      <c r="E1887" t="s">
        <v>4279</v>
      </c>
      <c r="F1887" t="str">
        <f>"00274131"</f>
        <v>00274131</v>
      </c>
      <c r="G1887" t="s">
        <v>96</v>
      </c>
      <c r="H1887" t="s">
        <v>20</v>
      </c>
      <c r="I1887">
        <v>1474</v>
      </c>
      <c r="J1887" t="s">
        <v>21</v>
      </c>
      <c r="K1887">
        <v>0</v>
      </c>
      <c r="L1887" t="s">
        <v>35</v>
      </c>
      <c r="M1887">
        <v>1000</v>
      </c>
    </row>
    <row r="1888" spans="1:13">
      <c r="A1888">
        <v>1882</v>
      </c>
      <c r="B1888">
        <v>114938</v>
      </c>
      <c r="C1888" t="s">
        <v>4280</v>
      </c>
      <c r="D1888" t="s">
        <v>76</v>
      </c>
      <c r="E1888" t="s">
        <v>4281</v>
      </c>
      <c r="F1888" t="str">
        <f>"00418446"</f>
        <v>00418446</v>
      </c>
      <c r="G1888" t="s">
        <v>107</v>
      </c>
      <c r="H1888" t="s">
        <v>20</v>
      </c>
      <c r="I1888">
        <v>1472</v>
      </c>
      <c r="J1888" t="s">
        <v>21</v>
      </c>
      <c r="K1888">
        <v>0</v>
      </c>
      <c r="M1888">
        <v>1521</v>
      </c>
    </row>
    <row r="1889" spans="1:13">
      <c r="A1889">
        <v>1883</v>
      </c>
      <c r="B1889">
        <v>88189</v>
      </c>
      <c r="C1889" t="s">
        <v>4282</v>
      </c>
      <c r="D1889" t="s">
        <v>80</v>
      </c>
      <c r="E1889" t="s">
        <v>4283</v>
      </c>
      <c r="F1889" t="str">
        <f>"00035812"</f>
        <v>00035812</v>
      </c>
      <c r="G1889" t="s">
        <v>38</v>
      </c>
      <c r="H1889" t="s">
        <v>39</v>
      </c>
      <c r="I1889">
        <v>1634</v>
      </c>
      <c r="J1889" t="s">
        <v>21</v>
      </c>
      <c r="K1889">
        <v>6</v>
      </c>
      <c r="L1889" t="s">
        <v>35</v>
      </c>
      <c r="M1889">
        <v>685</v>
      </c>
    </row>
    <row r="1890" spans="1:13">
      <c r="A1890">
        <v>1884</v>
      </c>
      <c r="B1890">
        <v>63499</v>
      </c>
      <c r="C1890" t="s">
        <v>4284</v>
      </c>
      <c r="D1890" t="s">
        <v>109</v>
      </c>
      <c r="E1890" t="s">
        <v>4285</v>
      </c>
      <c r="F1890" t="str">
        <f>"00305093"</f>
        <v>00305093</v>
      </c>
      <c r="G1890" t="s">
        <v>203</v>
      </c>
      <c r="H1890" t="s">
        <v>20</v>
      </c>
      <c r="I1890">
        <v>1476</v>
      </c>
      <c r="J1890" t="s">
        <v>21</v>
      </c>
      <c r="K1890">
        <v>6</v>
      </c>
      <c r="L1890" t="s">
        <v>35</v>
      </c>
      <c r="M1890">
        <v>700</v>
      </c>
    </row>
    <row r="1891" spans="1:13">
      <c r="A1891">
        <v>1885</v>
      </c>
      <c r="B1891">
        <v>85847</v>
      </c>
      <c r="C1891" t="s">
        <v>4286</v>
      </c>
      <c r="D1891" t="s">
        <v>76</v>
      </c>
      <c r="E1891" t="s">
        <v>4287</v>
      </c>
      <c r="F1891" t="str">
        <f>"00046633"</f>
        <v>00046633</v>
      </c>
      <c r="G1891" t="s">
        <v>107</v>
      </c>
      <c r="H1891" t="s">
        <v>20</v>
      </c>
      <c r="I1891">
        <v>1472</v>
      </c>
      <c r="J1891" t="s">
        <v>21</v>
      </c>
      <c r="K1891">
        <v>0</v>
      </c>
      <c r="L1891" t="s">
        <v>35</v>
      </c>
      <c r="M1891">
        <v>1083</v>
      </c>
    </row>
    <row r="1892" spans="1:13">
      <c r="A1892">
        <v>1886</v>
      </c>
      <c r="B1892">
        <v>90243</v>
      </c>
      <c r="C1892" t="s">
        <v>4288</v>
      </c>
      <c r="D1892" t="s">
        <v>180</v>
      </c>
      <c r="E1892" t="s">
        <v>4289</v>
      </c>
      <c r="F1892" t="str">
        <f>"00388937"</f>
        <v>00388937</v>
      </c>
      <c r="G1892" t="s">
        <v>561</v>
      </c>
      <c r="H1892" t="s">
        <v>20</v>
      </c>
      <c r="I1892">
        <v>1574</v>
      </c>
      <c r="J1892" t="s">
        <v>21</v>
      </c>
      <c r="K1892">
        <v>0</v>
      </c>
      <c r="L1892" t="s">
        <v>59</v>
      </c>
      <c r="M1892">
        <v>828</v>
      </c>
    </row>
    <row r="1893" spans="1:13">
      <c r="A1893">
        <v>1887</v>
      </c>
      <c r="B1893">
        <v>59711</v>
      </c>
      <c r="C1893" t="s">
        <v>4290</v>
      </c>
      <c r="D1893" t="s">
        <v>145</v>
      </c>
      <c r="E1893" t="s">
        <v>4291</v>
      </c>
      <c r="F1893" t="str">
        <f>"00140393"</f>
        <v>00140393</v>
      </c>
      <c r="G1893" t="s">
        <v>203</v>
      </c>
      <c r="H1893" t="s">
        <v>20</v>
      </c>
      <c r="I1893">
        <v>1476</v>
      </c>
      <c r="J1893" t="s">
        <v>21</v>
      </c>
      <c r="K1893">
        <v>0</v>
      </c>
      <c r="L1893" t="s">
        <v>88</v>
      </c>
      <c r="M1893">
        <v>758</v>
      </c>
    </row>
    <row r="1894" spans="1:13">
      <c r="A1894">
        <v>1888</v>
      </c>
      <c r="B1894">
        <v>53621</v>
      </c>
      <c r="C1894" t="s">
        <v>4292</v>
      </c>
      <c r="D1894" t="s">
        <v>180</v>
      </c>
      <c r="E1894" t="s">
        <v>4293</v>
      </c>
      <c r="F1894" t="str">
        <f>"00335088"</f>
        <v>00335088</v>
      </c>
      <c r="G1894" t="s">
        <v>1079</v>
      </c>
      <c r="H1894" t="s">
        <v>20</v>
      </c>
      <c r="I1894">
        <v>1433</v>
      </c>
      <c r="J1894" t="s">
        <v>21</v>
      </c>
      <c r="K1894">
        <v>0</v>
      </c>
      <c r="L1894" t="s">
        <v>35</v>
      </c>
      <c r="M1894">
        <v>1000</v>
      </c>
    </row>
    <row r="1895" spans="1:13">
      <c r="A1895">
        <v>1889</v>
      </c>
      <c r="B1895">
        <v>49468</v>
      </c>
      <c r="C1895" t="s">
        <v>4294</v>
      </c>
      <c r="D1895" t="s">
        <v>76</v>
      </c>
      <c r="E1895" t="s">
        <v>4295</v>
      </c>
      <c r="F1895" t="str">
        <f>"201507000958"</f>
        <v>201507000958</v>
      </c>
      <c r="G1895" t="s">
        <v>358</v>
      </c>
      <c r="H1895" t="s">
        <v>20</v>
      </c>
      <c r="I1895">
        <v>1549</v>
      </c>
      <c r="J1895" t="s">
        <v>21</v>
      </c>
      <c r="K1895">
        <v>0</v>
      </c>
      <c r="L1895" t="s">
        <v>35</v>
      </c>
      <c r="M1895">
        <v>908</v>
      </c>
    </row>
    <row r="1896" spans="1:13">
      <c r="A1896">
        <v>1890</v>
      </c>
      <c r="B1896">
        <v>78700</v>
      </c>
      <c r="C1896" t="s">
        <v>4296</v>
      </c>
      <c r="D1896" t="s">
        <v>80</v>
      </c>
      <c r="E1896" t="s">
        <v>4297</v>
      </c>
      <c r="F1896" t="str">
        <f>"00377814"</f>
        <v>00377814</v>
      </c>
      <c r="G1896" t="s">
        <v>1753</v>
      </c>
      <c r="H1896" t="s">
        <v>20</v>
      </c>
      <c r="I1896">
        <v>1544</v>
      </c>
      <c r="J1896" t="s">
        <v>21</v>
      </c>
      <c r="K1896">
        <v>0</v>
      </c>
      <c r="M1896">
        <v>1418</v>
      </c>
    </row>
    <row r="1897" spans="1:13">
      <c r="A1897">
        <v>1891</v>
      </c>
      <c r="B1897">
        <v>50717</v>
      </c>
      <c r="C1897" t="s">
        <v>4298</v>
      </c>
      <c r="D1897" t="s">
        <v>94</v>
      </c>
      <c r="E1897" t="s">
        <v>4299</v>
      </c>
      <c r="F1897" t="str">
        <f>"00357076"</f>
        <v>00357076</v>
      </c>
      <c r="G1897" t="s">
        <v>3359</v>
      </c>
      <c r="H1897" t="s">
        <v>1610</v>
      </c>
      <c r="I1897">
        <v>1303</v>
      </c>
      <c r="J1897" t="s">
        <v>21</v>
      </c>
      <c r="K1897">
        <v>6</v>
      </c>
      <c r="M1897">
        <v>1388</v>
      </c>
    </row>
    <row r="1898" spans="1:13">
      <c r="A1898">
        <v>1892</v>
      </c>
      <c r="B1898">
        <v>46802</v>
      </c>
      <c r="C1898" t="s">
        <v>4300</v>
      </c>
      <c r="D1898" t="s">
        <v>218</v>
      </c>
      <c r="E1898" t="s">
        <v>4301</v>
      </c>
      <c r="F1898" t="str">
        <f>"00230868"</f>
        <v>00230868</v>
      </c>
      <c r="G1898" t="s">
        <v>215</v>
      </c>
      <c r="H1898" t="s">
        <v>216</v>
      </c>
      <c r="I1898">
        <v>1708</v>
      </c>
      <c r="J1898" t="s">
        <v>21</v>
      </c>
      <c r="K1898">
        <v>6</v>
      </c>
      <c r="L1898" t="s">
        <v>59</v>
      </c>
      <c r="M1898">
        <v>938</v>
      </c>
    </row>
    <row r="1899" spans="1:13">
      <c r="A1899">
        <v>1893</v>
      </c>
      <c r="B1899">
        <v>106233</v>
      </c>
      <c r="C1899" t="s">
        <v>4302</v>
      </c>
      <c r="D1899" t="s">
        <v>180</v>
      </c>
      <c r="E1899" t="s">
        <v>4303</v>
      </c>
      <c r="F1899" t="str">
        <f>"00019123"</f>
        <v>00019123</v>
      </c>
      <c r="G1899" t="s">
        <v>19</v>
      </c>
      <c r="H1899" t="s">
        <v>20</v>
      </c>
      <c r="I1899">
        <v>1531</v>
      </c>
      <c r="J1899" t="s">
        <v>21</v>
      </c>
      <c r="K1899">
        <v>0</v>
      </c>
      <c r="L1899" t="s">
        <v>59</v>
      </c>
      <c r="M1899">
        <v>838</v>
      </c>
    </row>
    <row r="1900" spans="1:13">
      <c r="A1900">
        <v>1894</v>
      </c>
      <c r="B1900">
        <v>104527</v>
      </c>
      <c r="C1900" t="s">
        <v>4304</v>
      </c>
      <c r="D1900" t="s">
        <v>76</v>
      </c>
      <c r="E1900" t="s">
        <v>4305</v>
      </c>
      <c r="F1900" t="str">
        <f>"00407839"</f>
        <v>00407839</v>
      </c>
      <c r="G1900" t="s">
        <v>107</v>
      </c>
      <c r="H1900" t="s">
        <v>20</v>
      </c>
      <c r="I1900">
        <v>1472</v>
      </c>
      <c r="J1900" t="s">
        <v>21</v>
      </c>
      <c r="K1900">
        <v>0</v>
      </c>
      <c r="M1900">
        <v>1428</v>
      </c>
    </row>
    <row r="1901" spans="1:13">
      <c r="A1901">
        <v>1895</v>
      </c>
      <c r="B1901">
        <v>95791</v>
      </c>
      <c r="C1901" t="s">
        <v>4306</v>
      </c>
      <c r="D1901" t="s">
        <v>76</v>
      </c>
      <c r="E1901" t="s">
        <v>4307</v>
      </c>
      <c r="F1901" t="str">
        <f>"00377758"</f>
        <v>00377758</v>
      </c>
      <c r="G1901" t="s">
        <v>2768</v>
      </c>
      <c r="H1901" t="s">
        <v>20</v>
      </c>
      <c r="I1901">
        <v>1409</v>
      </c>
      <c r="J1901" t="s">
        <v>21</v>
      </c>
      <c r="K1901">
        <v>0</v>
      </c>
      <c r="M1901">
        <v>1428</v>
      </c>
    </row>
    <row r="1902" spans="1:13">
      <c r="A1902">
        <v>1896</v>
      </c>
      <c r="B1902">
        <v>115144</v>
      </c>
      <c r="C1902" t="s">
        <v>4308</v>
      </c>
      <c r="D1902" t="s">
        <v>2330</v>
      </c>
      <c r="E1902" t="s">
        <v>4309</v>
      </c>
      <c r="F1902" t="str">
        <f>"00415452"</f>
        <v>00415452</v>
      </c>
      <c r="G1902" t="s">
        <v>240</v>
      </c>
      <c r="H1902" t="s">
        <v>20</v>
      </c>
      <c r="I1902">
        <v>1535</v>
      </c>
      <c r="J1902" t="s">
        <v>21</v>
      </c>
      <c r="K1902">
        <v>6</v>
      </c>
      <c r="L1902" t="s">
        <v>35</v>
      </c>
      <c r="M1902">
        <v>1150</v>
      </c>
    </row>
    <row r="1903" spans="1:13">
      <c r="A1903">
        <v>1897</v>
      </c>
      <c r="B1903">
        <v>69036</v>
      </c>
      <c r="C1903" t="s">
        <v>4310</v>
      </c>
      <c r="D1903" t="s">
        <v>80</v>
      </c>
      <c r="E1903" t="s">
        <v>4311</v>
      </c>
      <c r="F1903" t="str">
        <f>"00374501"</f>
        <v>00374501</v>
      </c>
      <c r="G1903" t="s">
        <v>96</v>
      </c>
      <c r="H1903" t="s">
        <v>20</v>
      </c>
      <c r="I1903">
        <v>1474</v>
      </c>
      <c r="J1903" t="s">
        <v>21</v>
      </c>
      <c r="K1903">
        <v>0</v>
      </c>
      <c r="L1903" t="s">
        <v>35</v>
      </c>
      <c r="M1903">
        <v>1008</v>
      </c>
    </row>
    <row r="1904" spans="1:13">
      <c r="A1904">
        <v>1898</v>
      </c>
      <c r="B1904">
        <v>69758</v>
      </c>
      <c r="C1904" t="s">
        <v>4312</v>
      </c>
      <c r="D1904" t="s">
        <v>76</v>
      </c>
      <c r="E1904" t="s">
        <v>4313</v>
      </c>
      <c r="F1904" t="str">
        <f>"00045577"</f>
        <v>00045577</v>
      </c>
      <c r="G1904" t="s">
        <v>488</v>
      </c>
      <c r="H1904" t="s">
        <v>20</v>
      </c>
      <c r="I1904">
        <v>1482</v>
      </c>
      <c r="J1904" t="s">
        <v>21</v>
      </c>
      <c r="K1904">
        <v>0</v>
      </c>
      <c r="M1904">
        <v>1338</v>
      </c>
    </row>
    <row r="1905" spans="1:13">
      <c r="A1905">
        <v>1899</v>
      </c>
      <c r="B1905">
        <v>60187</v>
      </c>
      <c r="C1905" t="s">
        <v>4314</v>
      </c>
      <c r="D1905" t="s">
        <v>117</v>
      </c>
      <c r="E1905" t="s">
        <v>4315</v>
      </c>
      <c r="F1905" t="str">
        <f>"00227684"</f>
        <v>00227684</v>
      </c>
      <c r="G1905" t="s">
        <v>107</v>
      </c>
      <c r="H1905" t="s">
        <v>20</v>
      </c>
      <c r="I1905">
        <v>1472</v>
      </c>
      <c r="J1905" t="s">
        <v>21</v>
      </c>
      <c r="K1905">
        <v>0</v>
      </c>
      <c r="M1905">
        <v>1408</v>
      </c>
    </row>
    <row r="1906" spans="1:13">
      <c r="A1906">
        <v>1900</v>
      </c>
      <c r="B1906">
        <v>58789</v>
      </c>
      <c r="C1906" t="s">
        <v>4316</v>
      </c>
      <c r="D1906" t="s">
        <v>85</v>
      </c>
      <c r="E1906" t="s">
        <v>4317</v>
      </c>
      <c r="F1906" t="str">
        <f>"00290959"</f>
        <v>00290959</v>
      </c>
      <c r="G1906" t="s">
        <v>1682</v>
      </c>
      <c r="H1906" t="s">
        <v>241</v>
      </c>
      <c r="I1906">
        <v>1363</v>
      </c>
      <c r="J1906" t="s">
        <v>21</v>
      </c>
      <c r="K1906">
        <v>0</v>
      </c>
      <c r="L1906" t="s">
        <v>88</v>
      </c>
      <c r="M1906">
        <v>808</v>
      </c>
    </row>
    <row r="1907" spans="1:13">
      <c r="A1907">
        <v>1901</v>
      </c>
      <c r="B1907">
        <v>46900</v>
      </c>
      <c r="C1907" t="s">
        <v>4318</v>
      </c>
      <c r="D1907" t="s">
        <v>4319</v>
      </c>
      <c r="E1907" t="s">
        <v>4320</v>
      </c>
      <c r="F1907" t="str">
        <f>"00325236"</f>
        <v>00325236</v>
      </c>
      <c r="G1907" t="s">
        <v>488</v>
      </c>
      <c r="H1907" t="s">
        <v>20</v>
      </c>
      <c r="I1907">
        <v>1482</v>
      </c>
      <c r="J1907" t="s">
        <v>21</v>
      </c>
      <c r="K1907">
        <v>0</v>
      </c>
      <c r="L1907" t="s">
        <v>35</v>
      </c>
      <c r="M1907">
        <v>900</v>
      </c>
    </row>
    <row r="1908" spans="1:13">
      <c r="A1908">
        <v>1902</v>
      </c>
      <c r="B1908">
        <v>75201</v>
      </c>
      <c r="C1908" t="s">
        <v>4321</v>
      </c>
      <c r="D1908" t="s">
        <v>563</v>
      </c>
      <c r="E1908" t="s">
        <v>4322</v>
      </c>
      <c r="F1908" t="str">
        <f>"00400042"</f>
        <v>00400042</v>
      </c>
      <c r="G1908" t="s">
        <v>365</v>
      </c>
      <c r="H1908" t="s">
        <v>366</v>
      </c>
      <c r="I1908">
        <v>1692</v>
      </c>
      <c r="J1908" t="s">
        <v>21</v>
      </c>
      <c r="K1908">
        <v>0</v>
      </c>
      <c r="L1908" t="s">
        <v>35</v>
      </c>
      <c r="M1908">
        <v>908</v>
      </c>
    </row>
    <row r="1909" spans="1:13">
      <c r="A1909">
        <v>1903</v>
      </c>
      <c r="B1909">
        <v>51770</v>
      </c>
      <c r="C1909" t="s">
        <v>4323</v>
      </c>
      <c r="D1909" t="s">
        <v>80</v>
      </c>
      <c r="E1909" t="s">
        <v>4324</v>
      </c>
      <c r="F1909" t="str">
        <f>"00144226"</f>
        <v>00144226</v>
      </c>
      <c r="G1909" t="s">
        <v>971</v>
      </c>
      <c r="H1909" t="s">
        <v>48</v>
      </c>
      <c r="I1909">
        <v>1624</v>
      </c>
      <c r="J1909" t="s">
        <v>21</v>
      </c>
      <c r="K1909">
        <v>0</v>
      </c>
      <c r="M1909">
        <v>1304</v>
      </c>
    </row>
    <row r="1910" spans="1:13">
      <c r="A1910">
        <v>1904</v>
      </c>
      <c r="B1910">
        <v>115520</v>
      </c>
      <c r="C1910" t="s">
        <v>4325</v>
      </c>
      <c r="D1910" t="s">
        <v>139</v>
      </c>
      <c r="E1910" t="s">
        <v>4326</v>
      </c>
      <c r="F1910" t="str">
        <f>"00417978"</f>
        <v>00417978</v>
      </c>
      <c r="G1910" t="s">
        <v>107</v>
      </c>
      <c r="H1910" t="s">
        <v>20</v>
      </c>
      <c r="I1910">
        <v>1472</v>
      </c>
      <c r="J1910" t="s">
        <v>21</v>
      </c>
      <c r="K1910">
        <v>0</v>
      </c>
      <c r="L1910" t="s">
        <v>59</v>
      </c>
      <c r="M1910">
        <v>978</v>
      </c>
    </row>
    <row r="1911" spans="1:13">
      <c r="A1911">
        <v>1905</v>
      </c>
      <c r="B1911">
        <v>49125</v>
      </c>
      <c r="C1911" t="s">
        <v>4327</v>
      </c>
      <c r="D1911" t="s">
        <v>145</v>
      </c>
      <c r="E1911" t="s">
        <v>4328</v>
      </c>
      <c r="F1911" t="str">
        <f>"201511007618"</f>
        <v>201511007618</v>
      </c>
      <c r="G1911" t="s">
        <v>107</v>
      </c>
      <c r="H1911" t="s">
        <v>20</v>
      </c>
      <c r="I1911">
        <v>1472</v>
      </c>
      <c r="J1911" t="s">
        <v>21</v>
      </c>
      <c r="K1911">
        <v>0</v>
      </c>
      <c r="L1911" t="s">
        <v>35</v>
      </c>
      <c r="M1911">
        <v>908</v>
      </c>
    </row>
    <row r="1912" spans="1:13">
      <c r="A1912">
        <v>1906</v>
      </c>
      <c r="B1912">
        <v>114999</v>
      </c>
      <c r="C1912" t="s">
        <v>4329</v>
      </c>
      <c r="D1912" t="s">
        <v>80</v>
      </c>
      <c r="E1912" t="s">
        <v>4330</v>
      </c>
      <c r="F1912" t="str">
        <f>"00417588"</f>
        <v>00417588</v>
      </c>
      <c r="G1912" t="s">
        <v>63</v>
      </c>
      <c r="H1912" t="s">
        <v>20</v>
      </c>
      <c r="I1912">
        <v>1576</v>
      </c>
      <c r="J1912" t="s">
        <v>21</v>
      </c>
      <c r="K1912">
        <v>0</v>
      </c>
      <c r="M1912">
        <v>1328</v>
      </c>
    </row>
    <row r="1913" spans="1:13">
      <c r="A1913">
        <v>1907</v>
      </c>
      <c r="B1913">
        <v>102341</v>
      </c>
      <c r="C1913" t="s">
        <v>4331</v>
      </c>
      <c r="D1913" t="s">
        <v>507</v>
      </c>
      <c r="E1913" t="s">
        <v>4332</v>
      </c>
      <c r="F1913" t="str">
        <f>"00405470"</f>
        <v>00405470</v>
      </c>
      <c r="G1913" t="s">
        <v>125</v>
      </c>
      <c r="H1913" t="s">
        <v>20</v>
      </c>
      <c r="I1913">
        <v>1507</v>
      </c>
      <c r="J1913" t="s">
        <v>21</v>
      </c>
      <c r="K1913">
        <v>0</v>
      </c>
      <c r="L1913" t="s">
        <v>35</v>
      </c>
      <c r="M1913">
        <v>1086</v>
      </c>
    </row>
    <row r="1914" spans="1:13">
      <c r="A1914">
        <v>1908</v>
      </c>
      <c r="B1914">
        <v>96351</v>
      </c>
      <c r="C1914" t="s">
        <v>4333</v>
      </c>
      <c r="D1914" t="s">
        <v>243</v>
      </c>
      <c r="E1914" t="s">
        <v>4334</v>
      </c>
      <c r="F1914" t="str">
        <f>"00385712"</f>
        <v>00385712</v>
      </c>
      <c r="G1914" t="s">
        <v>107</v>
      </c>
      <c r="H1914" t="s">
        <v>20</v>
      </c>
      <c r="I1914">
        <v>1472</v>
      </c>
      <c r="J1914" t="s">
        <v>21</v>
      </c>
      <c r="K1914">
        <v>0</v>
      </c>
      <c r="L1914" t="s">
        <v>88</v>
      </c>
      <c r="M1914">
        <v>708</v>
      </c>
    </row>
    <row r="1915" spans="1:13">
      <c r="A1915">
        <v>1909</v>
      </c>
      <c r="B1915">
        <v>113058</v>
      </c>
      <c r="C1915" t="s">
        <v>4335</v>
      </c>
      <c r="D1915" t="s">
        <v>80</v>
      </c>
      <c r="E1915" t="s">
        <v>4336</v>
      </c>
      <c r="F1915" t="str">
        <f>"00423440"</f>
        <v>00423440</v>
      </c>
      <c r="G1915" t="s">
        <v>3280</v>
      </c>
      <c r="H1915" t="s">
        <v>20</v>
      </c>
      <c r="I1915">
        <v>1557</v>
      </c>
      <c r="J1915" t="s">
        <v>21</v>
      </c>
      <c r="K1915">
        <v>6</v>
      </c>
      <c r="L1915" t="s">
        <v>59</v>
      </c>
      <c r="M1915">
        <v>1078</v>
      </c>
    </row>
    <row r="1916" spans="1:13">
      <c r="A1916">
        <v>1910</v>
      </c>
      <c r="B1916">
        <v>64854</v>
      </c>
      <c r="C1916" t="s">
        <v>4337</v>
      </c>
      <c r="D1916" t="s">
        <v>76</v>
      </c>
      <c r="E1916" t="s">
        <v>4338</v>
      </c>
      <c r="F1916" t="str">
        <f>"00020736"</f>
        <v>00020736</v>
      </c>
      <c r="G1916" t="s">
        <v>3529</v>
      </c>
      <c r="H1916" t="s">
        <v>535</v>
      </c>
      <c r="I1916">
        <v>1662</v>
      </c>
      <c r="J1916" t="s">
        <v>21</v>
      </c>
      <c r="K1916">
        <v>0</v>
      </c>
      <c r="M1916">
        <v>1928</v>
      </c>
    </row>
    <row r="1917" spans="1:13">
      <c r="A1917">
        <v>1911</v>
      </c>
      <c r="B1917">
        <v>50529</v>
      </c>
      <c r="C1917" t="s">
        <v>4339</v>
      </c>
      <c r="D1917" t="s">
        <v>80</v>
      </c>
      <c r="E1917" t="s">
        <v>4340</v>
      </c>
      <c r="F1917" t="str">
        <f>"00253479"</f>
        <v>00253479</v>
      </c>
      <c r="G1917" t="s">
        <v>107</v>
      </c>
      <c r="H1917" t="s">
        <v>20</v>
      </c>
      <c r="I1917">
        <v>1472</v>
      </c>
      <c r="J1917" t="s">
        <v>21</v>
      </c>
      <c r="K1917">
        <v>0</v>
      </c>
      <c r="L1917" t="s">
        <v>35</v>
      </c>
      <c r="M1917">
        <v>908</v>
      </c>
    </row>
    <row r="1918" spans="1:13">
      <c r="A1918">
        <v>1912</v>
      </c>
      <c r="B1918">
        <v>58165</v>
      </c>
      <c r="C1918" t="s">
        <v>4341</v>
      </c>
      <c r="D1918" t="s">
        <v>65</v>
      </c>
      <c r="E1918" t="s">
        <v>4342</v>
      </c>
      <c r="F1918" t="str">
        <f>"00218530"</f>
        <v>00218530</v>
      </c>
      <c r="G1918" t="s">
        <v>38</v>
      </c>
      <c r="H1918" t="s">
        <v>39</v>
      </c>
      <c r="I1918">
        <v>1634</v>
      </c>
      <c r="J1918" t="s">
        <v>21</v>
      </c>
      <c r="K1918">
        <v>6</v>
      </c>
      <c r="M1918">
        <v>1228</v>
      </c>
    </row>
    <row r="1919" spans="1:13">
      <c r="A1919">
        <v>1913</v>
      </c>
      <c r="B1919">
        <v>72867</v>
      </c>
      <c r="C1919" t="s">
        <v>4343</v>
      </c>
      <c r="D1919" t="s">
        <v>243</v>
      </c>
      <c r="E1919" t="s">
        <v>4344</v>
      </c>
      <c r="F1919" t="str">
        <f>"00387745"</f>
        <v>00387745</v>
      </c>
      <c r="G1919" t="s">
        <v>107</v>
      </c>
      <c r="H1919" t="s">
        <v>20</v>
      </c>
      <c r="I1919">
        <v>1472</v>
      </c>
      <c r="J1919" t="s">
        <v>21</v>
      </c>
      <c r="K1919">
        <v>0</v>
      </c>
      <c r="L1919" t="s">
        <v>35</v>
      </c>
      <c r="M1919">
        <v>1300</v>
      </c>
    </row>
    <row r="1920" spans="1:13">
      <c r="A1920">
        <v>1914</v>
      </c>
      <c r="B1920">
        <v>69997</v>
      </c>
      <c r="C1920" t="s">
        <v>4345</v>
      </c>
      <c r="D1920" t="s">
        <v>566</v>
      </c>
      <c r="E1920" t="s">
        <v>4346</v>
      </c>
      <c r="F1920" t="str">
        <f>"00384242"</f>
        <v>00384242</v>
      </c>
      <c r="G1920" t="s">
        <v>341</v>
      </c>
      <c r="H1920" t="s">
        <v>20</v>
      </c>
      <c r="I1920">
        <v>1553</v>
      </c>
      <c r="J1920" t="s">
        <v>21</v>
      </c>
      <c r="K1920">
        <v>6</v>
      </c>
      <c r="L1920" t="s">
        <v>35</v>
      </c>
      <c r="M1920">
        <v>825</v>
      </c>
    </row>
    <row r="1921" spans="1:13">
      <c r="A1921">
        <v>1915</v>
      </c>
      <c r="B1921">
        <v>47273</v>
      </c>
      <c r="C1921" t="s">
        <v>4347</v>
      </c>
      <c r="D1921" t="s">
        <v>76</v>
      </c>
      <c r="E1921" t="s">
        <v>4348</v>
      </c>
      <c r="F1921" t="str">
        <f>"200901000865"</f>
        <v>200901000865</v>
      </c>
      <c r="G1921" t="s">
        <v>47</v>
      </c>
      <c r="H1921" t="s">
        <v>48</v>
      </c>
      <c r="I1921">
        <v>1623</v>
      </c>
      <c r="J1921" t="s">
        <v>21</v>
      </c>
      <c r="K1921">
        <v>0</v>
      </c>
      <c r="L1921" t="s">
        <v>59</v>
      </c>
      <c r="M1921">
        <v>988</v>
      </c>
    </row>
    <row r="1922" spans="1:13">
      <c r="A1922">
        <v>1916</v>
      </c>
      <c r="B1922">
        <v>112289</v>
      </c>
      <c r="C1922" t="s">
        <v>4349</v>
      </c>
      <c r="D1922" t="s">
        <v>80</v>
      </c>
      <c r="E1922" t="s">
        <v>4350</v>
      </c>
      <c r="F1922" t="str">
        <f>"00409678"</f>
        <v>00409678</v>
      </c>
      <c r="G1922" t="s">
        <v>107</v>
      </c>
      <c r="H1922" t="s">
        <v>20</v>
      </c>
      <c r="I1922">
        <v>1472</v>
      </c>
      <c r="J1922" t="s">
        <v>21</v>
      </c>
      <c r="K1922">
        <v>0</v>
      </c>
      <c r="M1922">
        <v>1628</v>
      </c>
    </row>
    <row r="1923" spans="1:13">
      <c r="A1923">
        <v>1917</v>
      </c>
      <c r="B1923">
        <v>58912</v>
      </c>
      <c r="C1923" t="s">
        <v>4351</v>
      </c>
      <c r="D1923" t="s">
        <v>94</v>
      </c>
      <c r="E1923" t="s">
        <v>4352</v>
      </c>
      <c r="F1923" t="str">
        <f>"00377454"</f>
        <v>00377454</v>
      </c>
      <c r="G1923" t="s">
        <v>150</v>
      </c>
      <c r="H1923" t="s">
        <v>151</v>
      </c>
      <c r="I1923">
        <v>1699</v>
      </c>
      <c r="J1923" t="s">
        <v>21</v>
      </c>
      <c r="K1923">
        <v>0</v>
      </c>
      <c r="L1923" t="s">
        <v>88</v>
      </c>
      <c r="M1923">
        <v>600</v>
      </c>
    </row>
    <row r="1924" spans="1:13">
      <c r="A1924">
        <v>1918</v>
      </c>
      <c r="B1924">
        <v>83418</v>
      </c>
      <c r="C1924" t="s">
        <v>4353</v>
      </c>
      <c r="D1924" t="s">
        <v>90</v>
      </c>
      <c r="E1924" t="s">
        <v>4354</v>
      </c>
      <c r="F1924" t="str">
        <f>"00388442"</f>
        <v>00388442</v>
      </c>
      <c r="G1924" t="s">
        <v>19</v>
      </c>
      <c r="H1924" t="s">
        <v>20</v>
      </c>
      <c r="I1924">
        <v>1531</v>
      </c>
      <c r="J1924" t="s">
        <v>21</v>
      </c>
      <c r="K1924">
        <v>0</v>
      </c>
      <c r="L1924" t="s">
        <v>35</v>
      </c>
      <c r="M1924">
        <v>908</v>
      </c>
    </row>
    <row r="1925" spans="1:13">
      <c r="A1925">
        <v>1919</v>
      </c>
      <c r="B1925">
        <v>85949</v>
      </c>
      <c r="C1925" t="s">
        <v>4355</v>
      </c>
      <c r="D1925" t="s">
        <v>243</v>
      </c>
      <c r="E1925" t="s">
        <v>4356</v>
      </c>
      <c r="F1925" t="str">
        <f>"00378653"</f>
        <v>00378653</v>
      </c>
      <c r="G1925" t="s">
        <v>4036</v>
      </c>
      <c r="H1925" t="s">
        <v>20</v>
      </c>
      <c r="I1925">
        <v>1442</v>
      </c>
      <c r="J1925" t="s">
        <v>21</v>
      </c>
      <c r="K1925">
        <v>0</v>
      </c>
      <c r="L1925" t="s">
        <v>59</v>
      </c>
      <c r="M1925">
        <v>935</v>
      </c>
    </row>
    <row r="1926" spans="1:13">
      <c r="A1926">
        <v>1920</v>
      </c>
      <c r="B1926">
        <v>66585</v>
      </c>
      <c r="C1926" t="s">
        <v>4357</v>
      </c>
      <c r="D1926" t="s">
        <v>80</v>
      </c>
      <c r="E1926" t="s">
        <v>4358</v>
      </c>
      <c r="F1926" t="str">
        <f>"201511014648"</f>
        <v>201511014648</v>
      </c>
      <c r="G1926" t="s">
        <v>798</v>
      </c>
      <c r="H1926" t="s">
        <v>326</v>
      </c>
      <c r="I1926">
        <v>1593</v>
      </c>
      <c r="J1926" t="s">
        <v>21</v>
      </c>
      <c r="K1926">
        <v>0</v>
      </c>
      <c r="M1926">
        <v>1456</v>
      </c>
    </row>
    <row r="1927" spans="1:13">
      <c r="A1927">
        <v>1921</v>
      </c>
      <c r="B1927">
        <v>78252</v>
      </c>
      <c r="C1927" t="s">
        <v>4359</v>
      </c>
      <c r="D1927" t="s">
        <v>2963</v>
      </c>
      <c r="E1927" t="s">
        <v>4360</v>
      </c>
      <c r="F1927" t="str">
        <f>"00259450"</f>
        <v>00259450</v>
      </c>
      <c r="G1927" t="s">
        <v>2625</v>
      </c>
      <c r="H1927" t="s">
        <v>535</v>
      </c>
      <c r="I1927">
        <v>1669</v>
      </c>
      <c r="J1927" t="s">
        <v>21</v>
      </c>
      <c r="K1927">
        <v>0</v>
      </c>
      <c r="L1927" t="s">
        <v>35</v>
      </c>
      <c r="M1927">
        <v>900</v>
      </c>
    </row>
    <row r="1928" spans="1:13">
      <c r="A1928">
        <v>1922</v>
      </c>
      <c r="B1928">
        <v>49520</v>
      </c>
      <c r="C1928" t="s">
        <v>4361</v>
      </c>
      <c r="D1928" t="s">
        <v>105</v>
      </c>
      <c r="E1928" t="s">
        <v>4362</v>
      </c>
      <c r="F1928" t="str">
        <f>"201101000146"</f>
        <v>201101000146</v>
      </c>
      <c r="G1928" t="s">
        <v>329</v>
      </c>
      <c r="H1928" t="s">
        <v>20</v>
      </c>
      <c r="I1928">
        <v>1509</v>
      </c>
      <c r="J1928" t="s">
        <v>21</v>
      </c>
      <c r="K1928">
        <v>0</v>
      </c>
      <c r="L1928" t="s">
        <v>83</v>
      </c>
      <c r="M1928">
        <v>1268</v>
      </c>
    </row>
    <row r="1929" spans="1:13">
      <c r="A1929">
        <v>1923</v>
      </c>
      <c r="B1929">
        <v>55526</v>
      </c>
      <c r="C1929" t="s">
        <v>4363</v>
      </c>
      <c r="D1929" t="s">
        <v>76</v>
      </c>
      <c r="E1929" t="s">
        <v>4364</v>
      </c>
      <c r="F1929" t="str">
        <f>"00361523"</f>
        <v>00361523</v>
      </c>
      <c r="G1929" t="s">
        <v>47</v>
      </c>
      <c r="H1929" t="s">
        <v>48</v>
      </c>
      <c r="I1929">
        <v>1623</v>
      </c>
      <c r="J1929" t="s">
        <v>21</v>
      </c>
      <c r="K1929">
        <v>0</v>
      </c>
      <c r="L1929" t="s">
        <v>59</v>
      </c>
      <c r="M1929">
        <v>1063</v>
      </c>
    </row>
    <row r="1930" spans="1:13">
      <c r="A1930">
        <v>1924</v>
      </c>
      <c r="B1930">
        <v>78419</v>
      </c>
      <c r="C1930" t="s">
        <v>4365</v>
      </c>
      <c r="D1930" t="s">
        <v>238</v>
      </c>
      <c r="E1930" t="s">
        <v>4366</v>
      </c>
      <c r="F1930" t="str">
        <f>"00410419"</f>
        <v>00410419</v>
      </c>
      <c r="G1930" t="s">
        <v>488</v>
      </c>
      <c r="H1930" t="s">
        <v>20</v>
      </c>
      <c r="I1930">
        <v>1482</v>
      </c>
      <c r="J1930" t="s">
        <v>21</v>
      </c>
      <c r="K1930">
        <v>0</v>
      </c>
      <c r="L1930" t="s">
        <v>83</v>
      </c>
      <c r="M1930">
        <v>1218</v>
      </c>
    </row>
    <row r="1931" spans="1:13">
      <c r="A1931">
        <v>1925</v>
      </c>
      <c r="B1931">
        <v>72911</v>
      </c>
      <c r="C1931" t="s">
        <v>4367</v>
      </c>
      <c r="D1931" t="s">
        <v>121</v>
      </c>
      <c r="E1931" t="s">
        <v>4368</v>
      </c>
      <c r="F1931" t="str">
        <f>"00291888"</f>
        <v>00291888</v>
      </c>
      <c r="G1931" t="s">
        <v>107</v>
      </c>
      <c r="H1931" t="s">
        <v>20</v>
      </c>
      <c r="I1931">
        <v>1472</v>
      </c>
      <c r="J1931" t="s">
        <v>21</v>
      </c>
      <c r="K1931">
        <v>0</v>
      </c>
      <c r="M1931">
        <v>1485</v>
      </c>
    </row>
    <row r="1932" spans="1:13">
      <c r="A1932">
        <v>1926</v>
      </c>
      <c r="B1932">
        <v>100832</v>
      </c>
      <c r="C1932" t="s">
        <v>4369</v>
      </c>
      <c r="D1932" t="s">
        <v>121</v>
      </c>
      <c r="E1932" t="s">
        <v>4370</v>
      </c>
      <c r="F1932" t="str">
        <f>"00285902"</f>
        <v>00285902</v>
      </c>
      <c r="G1932" t="s">
        <v>107</v>
      </c>
      <c r="H1932" t="s">
        <v>20</v>
      </c>
      <c r="I1932">
        <v>1472</v>
      </c>
      <c r="J1932" t="s">
        <v>21</v>
      </c>
      <c r="K1932">
        <v>0</v>
      </c>
      <c r="L1932" t="s">
        <v>35</v>
      </c>
      <c r="M1932">
        <v>958</v>
      </c>
    </row>
    <row r="1933" spans="1:13">
      <c r="A1933">
        <v>1927</v>
      </c>
      <c r="B1933">
        <v>77119</v>
      </c>
      <c r="C1933" t="s">
        <v>4371</v>
      </c>
      <c r="D1933" t="s">
        <v>105</v>
      </c>
      <c r="E1933" t="s">
        <v>4372</v>
      </c>
      <c r="F1933" t="str">
        <f>"00380821"</f>
        <v>00380821</v>
      </c>
      <c r="G1933" t="s">
        <v>107</v>
      </c>
      <c r="H1933" t="s">
        <v>20</v>
      </c>
      <c r="I1933">
        <v>1472</v>
      </c>
      <c r="J1933" t="s">
        <v>21</v>
      </c>
      <c r="K1933">
        <v>0</v>
      </c>
      <c r="M1933">
        <v>1478</v>
      </c>
    </row>
    <row r="1934" spans="1:13">
      <c r="A1934">
        <v>1928</v>
      </c>
      <c r="B1934">
        <v>77633</v>
      </c>
      <c r="C1934" t="s">
        <v>4373</v>
      </c>
      <c r="D1934" t="s">
        <v>218</v>
      </c>
      <c r="E1934" t="s">
        <v>4374</v>
      </c>
      <c r="F1934" t="str">
        <f>"00315380"</f>
        <v>00315380</v>
      </c>
      <c r="G1934" t="s">
        <v>4375</v>
      </c>
      <c r="H1934" t="s">
        <v>274</v>
      </c>
      <c r="I1934">
        <v>1396</v>
      </c>
      <c r="J1934" t="s">
        <v>21</v>
      </c>
      <c r="K1934">
        <v>0</v>
      </c>
      <c r="M1934">
        <v>1438</v>
      </c>
    </row>
    <row r="1935" spans="1:13">
      <c r="A1935">
        <v>1929</v>
      </c>
      <c r="B1935">
        <v>61413</v>
      </c>
      <c r="C1935" t="s">
        <v>4376</v>
      </c>
      <c r="D1935" t="s">
        <v>130</v>
      </c>
      <c r="E1935" t="s">
        <v>4377</v>
      </c>
      <c r="F1935" t="str">
        <f>"201511020835"</f>
        <v>201511020835</v>
      </c>
      <c r="G1935" t="s">
        <v>255</v>
      </c>
      <c r="H1935" t="s">
        <v>20</v>
      </c>
      <c r="I1935">
        <v>1513</v>
      </c>
      <c r="J1935" t="s">
        <v>21</v>
      </c>
      <c r="K1935">
        <v>6</v>
      </c>
      <c r="L1935" t="s">
        <v>35</v>
      </c>
      <c r="M1935">
        <v>825</v>
      </c>
    </row>
    <row r="1936" spans="1:13">
      <c r="A1936">
        <v>1930</v>
      </c>
      <c r="B1936">
        <v>53022</v>
      </c>
      <c r="C1936" t="s">
        <v>4378</v>
      </c>
      <c r="D1936" t="s">
        <v>76</v>
      </c>
      <c r="E1936" t="s">
        <v>4379</v>
      </c>
      <c r="F1936" t="str">
        <f>"00246379"</f>
        <v>00246379</v>
      </c>
      <c r="G1936" t="s">
        <v>47</v>
      </c>
      <c r="H1936" t="s">
        <v>48</v>
      </c>
      <c r="I1936">
        <v>1623</v>
      </c>
      <c r="J1936" t="s">
        <v>21</v>
      </c>
      <c r="K1936">
        <v>0</v>
      </c>
      <c r="L1936" t="s">
        <v>35</v>
      </c>
      <c r="M1936">
        <v>958</v>
      </c>
    </row>
    <row r="1937" spans="1:13">
      <c r="A1937">
        <v>1931</v>
      </c>
      <c r="B1937">
        <v>72686</v>
      </c>
      <c r="C1937" t="s">
        <v>4380</v>
      </c>
      <c r="D1937" t="s">
        <v>80</v>
      </c>
      <c r="E1937" t="s">
        <v>4381</v>
      </c>
      <c r="F1937" t="str">
        <f>"00250467"</f>
        <v>00250467</v>
      </c>
      <c r="G1937" t="s">
        <v>1504</v>
      </c>
      <c r="H1937" t="s">
        <v>234</v>
      </c>
      <c r="I1937">
        <v>1334</v>
      </c>
      <c r="J1937" t="s">
        <v>21</v>
      </c>
      <c r="K1937">
        <v>6</v>
      </c>
      <c r="L1937" t="s">
        <v>35</v>
      </c>
      <c r="M1937">
        <v>808</v>
      </c>
    </row>
    <row r="1938" spans="1:13">
      <c r="A1938">
        <v>1932</v>
      </c>
      <c r="B1938">
        <v>52135</v>
      </c>
      <c r="C1938" t="s">
        <v>4382</v>
      </c>
      <c r="D1938" t="s">
        <v>80</v>
      </c>
      <c r="E1938" t="s">
        <v>4383</v>
      </c>
      <c r="F1938" t="str">
        <f>"00248976"</f>
        <v>00248976</v>
      </c>
      <c r="G1938" t="s">
        <v>150</v>
      </c>
      <c r="H1938" t="s">
        <v>151</v>
      </c>
      <c r="I1938">
        <v>1699</v>
      </c>
      <c r="J1938" t="s">
        <v>21</v>
      </c>
      <c r="K1938">
        <v>0</v>
      </c>
      <c r="L1938" t="s">
        <v>35</v>
      </c>
      <c r="M1938">
        <v>874</v>
      </c>
    </row>
    <row r="1939" spans="1:13">
      <c r="A1939">
        <v>1933</v>
      </c>
      <c r="B1939">
        <v>92421</v>
      </c>
      <c r="C1939" t="s">
        <v>4384</v>
      </c>
      <c r="D1939" t="s">
        <v>76</v>
      </c>
      <c r="E1939" t="s">
        <v>4385</v>
      </c>
      <c r="F1939" t="str">
        <f>"00387447"</f>
        <v>00387447</v>
      </c>
      <c r="G1939" t="s">
        <v>974</v>
      </c>
      <c r="H1939" t="s">
        <v>20</v>
      </c>
      <c r="I1939">
        <v>1449</v>
      </c>
      <c r="J1939" t="s">
        <v>21</v>
      </c>
      <c r="K1939">
        <v>6</v>
      </c>
      <c r="M1939">
        <v>1218</v>
      </c>
    </row>
    <row r="1940" spans="1:13">
      <c r="A1940">
        <v>1934</v>
      </c>
      <c r="B1940">
        <v>56724</v>
      </c>
      <c r="C1940" t="s">
        <v>4386</v>
      </c>
      <c r="D1940" t="s">
        <v>102</v>
      </c>
      <c r="E1940" t="s">
        <v>4387</v>
      </c>
      <c r="F1940" t="str">
        <f>"00363880"</f>
        <v>00363880</v>
      </c>
      <c r="G1940" t="s">
        <v>3398</v>
      </c>
      <c r="H1940" t="s">
        <v>4388</v>
      </c>
      <c r="I1940">
        <v>1655</v>
      </c>
      <c r="J1940" t="s">
        <v>21</v>
      </c>
      <c r="K1940">
        <v>7</v>
      </c>
      <c r="M1940">
        <v>1188</v>
      </c>
    </row>
    <row r="1941" spans="1:13">
      <c r="A1941">
        <v>1935</v>
      </c>
      <c r="B1941">
        <v>64212</v>
      </c>
      <c r="C1941" t="s">
        <v>4389</v>
      </c>
      <c r="D1941" t="s">
        <v>102</v>
      </c>
      <c r="E1941" t="s">
        <v>4390</v>
      </c>
      <c r="F1941" t="str">
        <f>"00295483"</f>
        <v>00295483</v>
      </c>
      <c r="G1941" t="s">
        <v>211</v>
      </c>
      <c r="H1941" t="s">
        <v>48</v>
      </c>
      <c r="I1941">
        <v>1628</v>
      </c>
      <c r="J1941" t="s">
        <v>21</v>
      </c>
      <c r="K1941">
        <v>0</v>
      </c>
      <c r="M1941">
        <v>1338</v>
      </c>
    </row>
    <row r="1942" spans="1:13">
      <c r="A1942">
        <v>1936</v>
      </c>
      <c r="B1942">
        <v>47094</v>
      </c>
      <c r="C1942" t="s">
        <v>4391</v>
      </c>
      <c r="D1942" t="s">
        <v>76</v>
      </c>
      <c r="E1942" t="s">
        <v>4392</v>
      </c>
      <c r="F1942" t="str">
        <f>"00287833"</f>
        <v>00287833</v>
      </c>
      <c r="G1942" t="s">
        <v>29</v>
      </c>
      <c r="H1942" t="s">
        <v>20</v>
      </c>
      <c r="I1942">
        <v>1446</v>
      </c>
      <c r="J1942" t="s">
        <v>21</v>
      </c>
      <c r="K1942">
        <v>0</v>
      </c>
      <c r="L1942" t="s">
        <v>35</v>
      </c>
      <c r="M1942">
        <v>975</v>
      </c>
    </row>
    <row r="1943" spans="1:13">
      <c r="A1943">
        <v>1937</v>
      </c>
      <c r="B1943">
        <v>62743</v>
      </c>
      <c r="C1943" t="s">
        <v>4393</v>
      </c>
      <c r="D1943" t="s">
        <v>76</v>
      </c>
      <c r="E1943" t="s">
        <v>4394</v>
      </c>
      <c r="F1943" t="str">
        <f>"00354695"</f>
        <v>00354695</v>
      </c>
      <c r="G1943" t="s">
        <v>178</v>
      </c>
      <c r="H1943" t="s">
        <v>20</v>
      </c>
      <c r="I1943">
        <v>1519</v>
      </c>
      <c r="J1943" t="s">
        <v>21</v>
      </c>
      <c r="K1943">
        <v>0</v>
      </c>
      <c r="L1943" t="s">
        <v>35</v>
      </c>
      <c r="M1943">
        <v>1238</v>
      </c>
    </row>
    <row r="1944" spans="1:13">
      <c r="A1944">
        <v>1938</v>
      </c>
      <c r="B1944">
        <v>61854</v>
      </c>
      <c r="C1944" t="s">
        <v>4395</v>
      </c>
      <c r="D1944" t="s">
        <v>109</v>
      </c>
      <c r="E1944" t="s">
        <v>4396</v>
      </c>
      <c r="F1944" t="str">
        <f>"00026999"</f>
        <v>00026999</v>
      </c>
      <c r="G1944" t="s">
        <v>955</v>
      </c>
      <c r="H1944" t="s">
        <v>48</v>
      </c>
      <c r="I1944">
        <v>1630</v>
      </c>
      <c r="J1944" t="s">
        <v>21</v>
      </c>
      <c r="K1944">
        <v>0</v>
      </c>
      <c r="L1944" t="s">
        <v>35</v>
      </c>
      <c r="M1944">
        <v>950</v>
      </c>
    </row>
    <row r="1945" spans="1:13">
      <c r="A1945">
        <v>1939</v>
      </c>
      <c r="B1945">
        <v>64442</v>
      </c>
      <c r="C1945" t="s">
        <v>4397</v>
      </c>
      <c r="D1945" t="s">
        <v>90</v>
      </c>
      <c r="E1945" t="s">
        <v>4398</v>
      </c>
      <c r="F1945" t="str">
        <f>"201402009274"</f>
        <v>201402009274</v>
      </c>
      <c r="G1945" t="s">
        <v>1695</v>
      </c>
      <c r="H1945" t="s">
        <v>20</v>
      </c>
      <c r="I1945">
        <v>1533</v>
      </c>
      <c r="J1945" t="s">
        <v>21</v>
      </c>
      <c r="K1945">
        <v>0</v>
      </c>
      <c r="M1945">
        <v>1328</v>
      </c>
    </row>
    <row r="1946" spans="1:13">
      <c r="A1946">
        <v>1940</v>
      </c>
      <c r="B1946">
        <v>86338</v>
      </c>
      <c r="C1946" t="s">
        <v>4399</v>
      </c>
      <c r="D1946" t="s">
        <v>243</v>
      </c>
      <c r="E1946" t="s">
        <v>4400</v>
      </c>
      <c r="F1946" t="str">
        <f>"00325472"</f>
        <v>00325472</v>
      </c>
      <c r="G1946" t="s">
        <v>329</v>
      </c>
      <c r="H1946" t="s">
        <v>20</v>
      </c>
      <c r="I1946">
        <v>1509</v>
      </c>
      <c r="J1946" t="s">
        <v>21</v>
      </c>
      <c r="K1946">
        <v>0</v>
      </c>
      <c r="L1946" t="s">
        <v>88</v>
      </c>
      <c r="M1946">
        <v>604</v>
      </c>
    </row>
    <row r="1947" spans="1:13">
      <c r="A1947">
        <v>1941</v>
      </c>
      <c r="B1947">
        <v>62977</v>
      </c>
      <c r="C1947" t="s">
        <v>4401</v>
      </c>
      <c r="D1947" t="s">
        <v>90</v>
      </c>
      <c r="E1947" t="s">
        <v>4402</v>
      </c>
      <c r="F1947" t="str">
        <f>"00280504"</f>
        <v>00280504</v>
      </c>
      <c r="G1947" t="s">
        <v>481</v>
      </c>
      <c r="H1947" t="s">
        <v>20</v>
      </c>
      <c r="I1947">
        <v>1547</v>
      </c>
      <c r="J1947" t="s">
        <v>21</v>
      </c>
      <c r="K1947">
        <v>0</v>
      </c>
      <c r="L1947" t="s">
        <v>35</v>
      </c>
      <c r="M1947">
        <v>1086</v>
      </c>
    </row>
    <row r="1948" spans="1:13">
      <c r="A1948">
        <v>1942</v>
      </c>
      <c r="B1948">
        <v>57997</v>
      </c>
      <c r="C1948" t="s">
        <v>4403</v>
      </c>
      <c r="D1948" t="s">
        <v>276</v>
      </c>
      <c r="E1948" t="s">
        <v>4404</v>
      </c>
      <c r="F1948" t="str">
        <f>"00202221"</f>
        <v>00202221</v>
      </c>
      <c r="G1948" t="s">
        <v>713</v>
      </c>
      <c r="H1948" t="s">
        <v>366</v>
      </c>
      <c r="I1948">
        <v>1690</v>
      </c>
      <c r="J1948" t="s">
        <v>21</v>
      </c>
      <c r="K1948">
        <v>0</v>
      </c>
      <c r="L1948" t="s">
        <v>59</v>
      </c>
      <c r="M1948">
        <v>1228</v>
      </c>
    </row>
    <row r="1949" spans="1:13">
      <c r="A1949">
        <v>1943</v>
      </c>
      <c r="B1949">
        <v>54724</v>
      </c>
      <c r="C1949" t="s">
        <v>4405</v>
      </c>
      <c r="D1949" t="s">
        <v>145</v>
      </c>
      <c r="E1949" t="s">
        <v>4406</v>
      </c>
      <c r="F1949" t="str">
        <f>"201511012961"</f>
        <v>201511012961</v>
      </c>
      <c r="G1949" t="s">
        <v>600</v>
      </c>
      <c r="H1949" t="s">
        <v>366</v>
      </c>
      <c r="I1949">
        <v>1694</v>
      </c>
      <c r="J1949" t="s">
        <v>21</v>
      </c>
      <c r="K1949">
        <v>0</v>
      </c>
      <c r="L1949" t="s">
        <v>35</v>
      </c>
      <c r="M1949">
        <v>850</v>
      </c>
    </row>
    <row r="1950" spans="1:13">
      <c r="A1950">
        <v>1944</v>
      </c>
      <c r="B1950">
        <v>89226</v>
      </c>
      <c r="C1950" t="s">
        <v>4407</v>
      </c>
      <c r="D1950" t="s">
        <v>228</v>
      </c>
      <c r="E1950" t="s">
        <v>4408</v>
      </c>
      <c r="F1950" t="str">
        <f>"201510005069"</f>
        <v>201510005069</v>
      </c>
      <c r="G1950" t="s">
        <v>170</v>
      </c>
      <c r="H1950" t="s">
        <v>423</v>
      </c>
      <c r="I1950">
        <v>1636</v>
      </c>
      <c r="J1950" t="s">
        <v>21</v>
      </c>
      <c r="K1950">
        <v>0</v>
      </c>
      <c r="M1950">
        <v>1388</v>
      </c>
    </row>
    <row r="1951" spans="1:13">
      <c r="A1951">
        <v>1945</v>
      </c>
      <c r="B1951">
        <v>46728</v>
      </c>
      <c r="C1951" t="s">
        <v>4409</v>
      </c>
      <c r="D1951" t="s">
        <v>130</v>
      </c>
      <c r="E1951" t="s">
        <v>4410</v>
      </c>
      <c r="F1951" t="str">
        <f>"200712001627"</f>
        <v>200712001627</v>
      </c>
      <c r="G1951" t="s">
        <v>371</v>
      </c>
      <c r="H1951" t="s">
        <v>20</v>
      </c>
      <c r="I1951">
        <v>1526</v>
      </c>
      <c r="J1951" t="s">
        <v>21</v>
      </c>
      <c r="K1951">
        <v>6</v>
      </c>
      <c r="L1951" t="s">
        <v>83</v>
      </c>
      <c r="M1951">
        <v>400</v>
      </c>
    </row>
    <row r="1952" spans="1:13">
      <c r="A1952">
        <v>1946</v>
      </c>
      <c r="B1952">
        <v>86341</v>
      </c>
      <c r="C1952" t="s">
        <v>4411</v>
      </c>
      <c r="D1952" t="s">
        <v>76</v>
      </c>
      <c r="E1952" t="s">
        <v>4412</v>
      </c>
      <c r="F1952" t="str">
        <f>"00391745"</f>
        <v>00391745</v>
      </c>
      <c r="G1952" t="s">
        <v>150</v>
      </c>
      <c r="H1952" t="s">
        <v>151</v>
      </c>
      <c r="I1952">
        <v>1699</v>
      </c>
      <c r="J1952" t="s">
        <v>21</v>
      </c>
      <c r="K1952">
        <v>0</v>
      </c>
      <c r="M1952">
        <v>1443</v>
      </c>
    </row>
    <row r="1953" spans="1:13">
      <c r="A1953">
        <v>1947</v>
      </c>
      <c r="B1953">
        <v>67832</v>
      </c>
      <c r="C1953" t="s">
        <v>4413</v>
      </c>
      <c r="D1953" t="s">
        <v>76</v>
      </c>
      <c r="E1953" t="s">
        <v>4414</v>
      </c>
      <c r="F1953" t="str">
        <f>"00385313"</f>
        <v>00385313</v>
      </c>
      <c r="G1953" t="s">
        <v>4415</v>
      </c>
      <c r="H1953" t="s">
        <v>535</v>
      </c>
      <c r="I1953">
        <v>1664</v>
      </c>
      <c r="J1953" t="s">
        <v>21</v>
      </c>
      <c r="K1953">
        <v>0</v>
      </c>
      <c r="L1953" t="s">
        <v>35</v>
      </c>
      <c r="M1953">
        <v>958</v>
      </c>
    </row>
    <row r="1954" spans="1:13">
      <c r="A1954">
        <v>1948</v>
      </c>
      <c r="B1954">
        <v>87549</v>
      </c>
      <c r="C1954" t="s">
        <v>4416</v>
      </c>
      <c r="D1954" t="s">
        <v>243</v>
      </c>
      <c r="E1954" t="s">
        <v>4417</v>
      </c>
      <c r="F1954" t="str">
        <f>"00335141"</f>
        <v>00335141</v>
      </c>
      <c r="G1954" t="s">
        <v>365</v>
      </c>
      <c r="H1954" t="s">
        <v>366</v>
      </c>
      <c r="I1954">
        <v>1692</v>
      </c>
      <c r="J1954" t="s">
        <v>21</v>
      </c>
      <c r="K1954">
        <v>0</v>
      </c>
      <c r="M1954">
        <v>1438</v>
      </c>
    </row>
    <row r="1955" spans="1:13">
      <c r="A1955">
        <v>1949</v>
      </c>
      <c r="B1955">
        <v>70507</v>
      </c>
      <c r="C1955" t="s">
        <v>4418</v>
      </c>
      <c r="D1955" t="s">
        <v>80</v>
      </c>
      <c r="E1955" t="s">
        <v>4419</v>
      </c>
      <c r="F1955" t="str">
        <f>"00374323"</f>
        <v>00374323</v>
      </c>
      <c r="G1955" t="s">
        <v>1234</v>
      </c>
      <c r="H1955" t="s">
        <v>20</v>
      </c>
      <c r="I1955">
        <v>1548</v>
      </c>
      <c r="J1955" t="s">
        <v>21</v>
      </c>
      <c r="K1955">
        <v>0</v>
      </c>
      <c r="M1955">
        <v>1502</v>
      </c>
    </row>
    <row r="1956" spans="1:13">
      <c r="A1956">
        <v>1950</v>
      </c>
      <c r="B1956">
        <v>61625</v>
      </c>
      <c r="C1956" t="s">
        <v>4420</v>
      </c>
      <c r="D1956" t="s">
        <v>4421</v>
      </c>
      <c r="E1956" t="s">
        <v>4422</v>
      </c>
      <c r="F1956" t="str">
        <f>"00358696"</f>
        <v>00358696</v>
      </c>
      <c r="G1956" t="s">
        <v>1602</v>
      </c>
      <c r="H1956" t="s">
        <v>20</v>
      </c>
      <c r="I1956">
        <v>1427</v>
      </c>
      <c r="J1956" t="s">
        <v>21</v>
      </c>
      <c r="K1956">
        <v>7</v>
      </c>
      <c r="L1956" t="s">
        <v>35</v>
      </c>
      <c r="M1956">
        <v>725</v>
      </c>
    </row>
    <row r="1957" spans="1:13">
      <c r="A1957">
        <v>1951</v>
      </c>
      <c r="B1957">
        <v>71886</v>
      </c>
      <c r="C1957" t="s">
        <v>4423</v>
      </c>
      <c r="D1957" t="s">
        <v>700</v>
      </c>
      <c r="E1957" t="s">
        <v>4424</v>
      </c>
      <c r="F1957" t="str">
        <f>"00384732"</f>
        <v>00384732</v>
      </c>
      <c r="G1957" t="s">
        <v>1609</v>
      </c>
      <c r="H1957" t="s">
        <v>1610</v>
      </c>
      <c r="I1957">
        <v>1308</v>
      </c>
      <c r="J1957" t="s">
        <v>21</v>
      </c>
      <c r="K1957">
        <v>0</v>
      </c>
      <c r="M1957">
        <v>1617</v>
      </c>
    </row>
    <row r="1958" spans="1:13">
      <c r="A1958">
        <v>1952</v>
      </c>
      <c r="B1958">
        <v>72140</v>
      </c>
      <c r="C1958" t="s">
        <v>4425</v>
      </c>
      <c r="D1958" t="s">
        <v>80</v>
      </c>
      <c r="E1958" t="s">
        <v>4426</v>
      </c>
      <c r="F1958" t="str">
        <f>"00347403"</f>
        <v>00347403</v>
      </c>
      <c r="G1958" t="s">
        <v>610</v>
      </c>
      <c r="H1958" t="s">
        <v>20</v>
      </c>
      <c r="I1958">
        <v>1429</v>
      </c>
      <c r="J1958" t="s">
        <v>21</v>
      </c>
      <c r="K1958">
        <v>0</v>
      </c>
      <c r="L1958" t="s">
        <v>35</v>
      </c>
      <c r="M1958">
        <v>1300</v>
      </c>
    </row>
    <row r="1959" spans="1:13">
      <c r="A1959">
        <v>1953</v>
      </c>
      <c r="B1959">
        <v>94956</v>
      </c>
      <c r="C1959" t="s">
        <v>4427</v>
      </c>
      <c r="D1959" t="s">
        <v>180</v>
      </c>
      <c r="E1959" t="s">
        <v>4428</v>
      </c>
      <c r="F1959" t="str">
        <f>"00400766"</f>
        <v>00400766</v>
      </c>
      <c r="G1959" t="s">
        <v>1712</v>
      </c>
      <c r="H1959" t="s">
        <v>241</v>
      </c>
      <c r="I1959">
        <v>1362</v>
      </c>
      <c r="J1959" t="s">
        <v>21</v>
      </c>
      <c r="K1959">
        <v>0</v>
      </c>
      <c r="L1959" t="s">
        <v>35</v>
      </c>
      <c r="M1959">
        <v>1367</v>
      </c>
    </row>
    <row r="1960" spans="1:13">
      <c r="A1960">
        <v>1954</v>
      </c>
      <c r="B1960">
        <v>105860</v>
      </c>
      <c r="C1960" t="s">
        <v>4429</v>
      </c>
      <c r="D1960" t="s">
        <v>243</v>
      </c>
      <c r="E1960" t="s">
        <v>4430</v>
      </c>
      <c r="F1960" t="str">
        <f>"00205501"</f>
        <v>00205501</v>
      </c>
      <c r="G1960" t="s">
        <v>226</v>
      </c>
      <c r="H1960" t="s">
        <v>20</v>
      </c>
      <c r="I1960">
        <v>1510</v>
      </c>
      <c r="J1960" t="s">
        <v>21</v>
      </c>
      <c r="K1960">
        <v>0</v>
      </c>
      <c r="L1960" t="s">
        <v>35</v>
      </c>
      <c r="M1960">
        <v>1036</v>
      </c>
    </row>
    <row r="1961" spans="1:13">
      <c r="A1961">
        <v>1955</v>
      </c>
      <c r="B1961">
        <v>92706</v>
      </c>
      <c r="C1961" t="s">
        <v>4431</v>
      </c>
      <c r="D1961" t="s">
        <v>109</v>
      </c>
      <c r="E1961" t="s">
        <v>4432</v>
      </c>
      <c r="F1961" t="str">
        <f>"00393546"</f>
        <v>00393546</v>
      </c>
      <c r="G1961" t="s">
        <v>19</v>
      </c>
      <c r="H1961" t="s">
        <v>20</v>
      </c>
      <c r="I1961">
        <v>1531</v>
      </c>
      <c r="J1961" t="s">
        <v>21</v>
      </c>
      <c r="K1961">
        <v>0</v>
      </c>
      <c r="M1961">
        <v>1768</v>
      </c>
    </row>
    <row r="1962" spans="1:13">
      <c r="A1962">
        <v>1956</v>
      </c>
      <c r="B1962">
        <v>97793</v>
      </c>
      <c r="C1962" t="s">
        <v>4433</v>
      </c>
      <c r="D1962" t="s">
        <v>249</v>
      </c>
      <c r="E1962" t="s">
        <v>4434</v>
      </c>
      <c r="F1962" t="str">
        <f>"00394333"</f>
        <v>00394333</v>
      </c>
      <c r="G1962" t="s">
        <v>862</v>
      </c>
      <c r="H1962" t="s">
        <v>48</v>
      </c>
      <c r="I1962">
        <v>1619</v>
      </c>
      <c r="J1962" t="s">
        <v>21</v>
      </c>
      <c r="K1962">
        <v>0</v>
      </c>
      <c r="M1962">
        <v>1868</v>
      </c>
    </row>
    <row r="1963" spans="1:13">
      <c r="A1963">
        <v>1957</v>
      </c>
      <c r="B1963">
        <v>98289</v>
      </c>
      <c r="C1963" t="s">
        <v>4435</v>
      </c>
      <c r="D1963" t="s">
        <v>76</v>
      </c>
      <c r="E1963" t="s">
        <v>4436</v>
      </c>
      <c r="F1963" t="str">
        <f>"00379073"</f>
        <v>00379073</v>
      </c>
      <c r="G1963" t="s">
        <v>155</v>
      </c>
      <c r="H1963" t="s">
        <v>156</v>
      </c>
      <c r="I1963">
        <v>1342</v>
      </c>
      <c r="J1963" t="s">
        <v>21</v>
      </c>
      <c r="K1963">
        <v>0</v>
      </c>
      <c r="L1963" t="s">
        <v>35</v>
      </c>
      <c r="M1963">
        <v>1036</v>
      </c>
    </row>
    <row r="1964" spans="1:13">
      <c r="A1964">
        <v>1958</v>
      </c>
      <c r="B1964">
        <v>110006</v>
      </c>
      <c r="C1964" t="s">
        <v>4437</v>
      </c>
      <c r="D1964" t="s">
        <v>76</v>
      </c>
      <c r="E1964" t="s">
        <v>4438</v>
      </c>
      <c r="F1964" t="str">
        <f>"00421571"</f>
        <v>00421571</v>
      </c>
      <c r="G1964" t="s">
        <v>4439</v>
      </c>
      <c r="H1964" t="s">
        <v>137</v>
      </c>
      <c r="I1964">
        <v>1608</v>
      </c>
      <c r="J1964" t="s">
        <v>21</v>
      </c>
      <c r="K1964">
        <v>0</v>
      </c>
      <c r="L1964" t="s">
        <v>35</v>
      </c>
      <c r="M1964">
        <v>1257</v>
      </c>
    </row>
    <row r="1965" spans="1:13">
      <c r="A1965">
        <v>1959</v>
      </c>
      <c r="B1965">
        <v>101417</v>
      </c>
      <c r="C1965" t="s">
        <v>4440</v>
      </c>
      <c r="D1965" t="s">
        <v>76</v>
      </c>
      <c r="E1965" t="s">
        <v>4441</v>
      </c>
      <c r="F1965" t="str">
        <f>"00382366"</f>
        <v>00382366</v>
      </c>
      <c r="G1965" t="s">
        <v>278</v>
      </c>
      <c r="H1965" t="s">
        <v>137</v>
      </c>
      <c r="I1965">
        <v>1605</v>
      </c>
      <c r="J1965" t="s">
        <v>21</v>
      </c>
      <c r="K1965">
        <v>0</v>
      </c>
      <c r="M1965">
        <v>1488</v>
      </c>
    </row>
    <row r="1966" spans="1:13">
      <c r="A1966">
        <v>1960</v>
      </c>
      <c r="B1966">
        <v>80719</v>
      </c>
      <c r="C1966" t="s">
        <v>4442</v>
      </c>
      <c r="D1966" t="s">
        <v>243</v>
      </c>
      <c r="E1966" t="s">
        <v>4443</v>
      </c>
      <c r="F1966" t="str">
        <f>"00388316"</f>
        <v>00388316</v>
      </c>
      <c r="G1966" t="s">
        <v>1203</v>
      </c>
      <c r="H1966" t="s">
        <v>20</v>
      </c>
      <c r="I1966">
        <v>1443</v>
      </c>
      <c r="J1966" t="s">
        <v>21</v>
      </c>
      <c r="K1966">
        <v>0</v>
      </c>
      <c r="L1966" t="s">
        <v>59</v>
      </c>
      <c r="M1966">
        <v>888</v>
      </c>
    </row>
    <row r="1967" spans="1:13">
      <c r="A1967">
        <v>1961</v>
      </c>
      <c r="B1967">
        <v>115948</v>
      </c>
      <c r="C1967" t="s">
        <v>4444</v>
      </c>
      <c r="D1967" t="s">
        <v>243</v>
      </c>
      <c r="E1967" t="s">
        <v>4445</v>
      </c>
      <c r="F1967" t="str">
        <f>"00270636"</f>
        <v>00270636</v>
      </c>
      <c r="G1967" t="s">
        <v>47</v>
      </c>
      <c r="H1967" t="s">
        <v>48</v>
      </c>
      <c r="I1967">
        <v>1623</v>
      </c>
      <c r="J1967" t="s">
        <v>21</v>
      </c>
      <c r="K1967">
        <v>0</v>
      </c>
      <c r="L1967" t="s">
        <v>35</v>
      </c>
      <c r="M1967">
        <v>874</v>
      </c>
    </row>
    <row r="1968" spans="1:13">
      <c r="A1968">
        <v>1962</v>
      </c>
      <c r="B1968">
        <v>46938</v>
      </c>
      <c r="C1968" t="s">
        <v>4446</v>
      </c>
      <c r="D1968" t="s">
        <v>121</v>
      </c>
      <c r="E1968" t="s">
        <v>4447</v>
      </c>
      <c r="F1968" t="str">
        <f>"00366355"</f>
        <v>00366355</v>
      </c>
      <c r="G1968" t="s">
        <v>67</v>
      </c>
      <c r="H1968" t="s">
        <v>20</v>
      </c>
      <c r="I1968">
        <v>1434</v>
      </c>
      <c r="J1968" t="s">
        <v>21</v>
      </c>
      <c r="K1968">
        <v>0</v>
      </c>
      <c r="L1968" t="s">
        <v>35</v>
      </c>
      <c r="M1968">
        <v>874</v>
      </c>
    </row>
    <row r="1969" spans="1:13">
      <c r="A1969">
        <v>1963</v>
      </c>
      <c r="B1969">
        <v>73741</v>
      </c>
      <c r="C1969" t="s">
        <v>4448</v>
      </c>
      <c r="D1969" t="s">
        <v>121</v>
      </c>
      <c r="E1969" t="s">
        <v>4449</v>
      </c>
      <c r="F1969" t="str">
        <f>"00294414"</f>
        <v>00294414</v>
      </c>
      <c r="G1969" t="s">
        <v>371</v>
      </c>
      <c r="H1969" t="s">
        <v>20</v>
      </c>
      <c r="I1969">
        <v>1526</v>
      </c>
      <c r="J1969" t="s">
        <v>21</v>
      </c>
      <c r="K1969">
        <v>0</v>
      </c>
      <c r="L1969" t="s">
        <v>88</v>
      </c>
      <c r="M1969">
        <v>436</v>
      </c>
    </row>
    <row r="1970" spans="1:13">
      <c r="A1970">
        <v>1964</v>
      </c>
      <c r="B1970">
        <v>101621</v>
      </c>
      <c r="C1970" t="s">
        <v>4450</v>
      </c>
      <c r="D1970" t="s">
        <v>1109</v>
      </c>
      <c r="E1970" t="s">
        <v>4451</v>
      </c>
      <c r="F1970" t="str">
        <f>"00401396"</f>
        <v>00401396</v>
      </c>
      <c r="G1970" t="s">
        <v>4452</v>
      </c>
      <c r="H1970" t="s">
        <v>274</v>
      </c>
      <c r="I1970">
        <v>1393</v>
      </c>
      <c r="J1970" t="s">
        <v>21</v>
      </c>
      <c r="K1970">
        <v>0</v>
      </c>
      <c r="M1970">
        <v>1597</v>
      </c>
    </row>
    <row r="1971" spans="1:13">
      <c r="A1971">
        <v>1965</v>
      </c>
      <c r="B1971">
        <v>103515</v>
      </c>
      <c r="C1971" t="s">
        <v>4453</v>
      </c>
      <c r="D1971" t="s">
        <v>145</v>
      </c>
      <c r="E1971" t="s">
        <v>4454</v>
      </c>
      <c r="F1971" t="str">
        <f>"00404181"</f>
        <v>00404181</v>
      </c>
      <c r="G1971" t="s">
        <v>111</v>
      </c>
      <c r="H1971" t="s">
        <v>48</v>
      </c>
      <c r="I1971">
        <v>1620</v>
      </c>
      <c r="J1971" t="s">
        <v>21</v>
      </c>
      <c r="K1971">
        <v>0</v>
      </c>
      <c r="M1971">
        <v>1362</v>
      </c>
    </row>
    <row r="1972" spans="1:13">
      <c r="A1972">
        <v>1966</v>
      </c>
      <c r="B1972">
        <v>99978</v>
      </c>
      <c r="C1972" t="s">
        <v>4455</v>
      </c>
      <c r="D1972" t="s">
        <v>153</v>
      </c>
      <c r="E1972" t="s">
        <v>4456</v>
      </c>
      <c r="F1972" t="str">
        <f>"00392836"</f>
        <v>00392836</v>
      </c>
      <c r="G1972" t="s">
        <v>38</v>
      </c>
      <c r="H1972" t="s">
        <v>39</v>
      </c>
      <c r="I1972">
        <v>1634</v>
      </c>
      <c r="J1972" t="s">
        <v>21</v>
      </c>
      <c r="K1972">
        <v>6</v>
      </c>
      <c r="L1972" t="s">
        <v>35</v>
      </c>
      <c r="M1972">
        <v>708</v>
      </c>
    </row>
    <row r="1973" spans="1:13">
      <c r="A1973">
        <v>1967</v>
      </c>
      <c r="B1973">
        <v>78095</v>
      </c>
      <c r="C1973" t="s">
        <v>4457</v>
      </c>
      <c r="D1973" t="s">
        <v>105</v>
      </c>
      <c r="E1973" t="s">
        <v>4458</v>
      </c>
      <c r="F1973" t="str">
        <f>"201511020720"</f>
        <v>201511020720</v>
      </c>
      <c r="G1973" t="s">
        <v>4459</v>
      </c>
      <c r="H1973" t="s">
        <v>20</v>
      </c>
      <c r="I1973">
        <v>1455</v>
      </c>
      <c r="J1973" t="s">
        <v>21</v>
      </c>
      <c r="K1973">
        <v>6</v>
      </c>
      <c r="L1973" t="s">
        <v>35</v>
      </c>
      <c r="M1973">
        <v>1321</v>
      </c>
    </row>
    <row r="1974" spans="1:13">
      <c r="A1974">
        <v>1968</v>
      </c>
      <c r="B1974">
        <v>65133</v>
      </c>
      <c r="C1974" t="s">
        <v>4460</v>
      </c>
      <c r="D1974" t="s">
        <v>76</v>
      </c>
      <c r="E1974" t="s">
        <v>4461</v>
      </c>
      <c r="F1974" t="str">
        <f>"00367868"</f>
        <v>00367868</v>
      </c>
      <c r="G1974" t="s">
        <v>47</v>
      </c>
      <c r="H1974" t="s">
        <v>48</v>
      </c>
      <c r="I1974">
        <v>1623</v>
      </c>
      <c r="J1974" t="s">
        <v>21</v>
      </c>
      <c r="K1974">
        <v>0</v>
      </c>
      <c r="M1974">
        <v>1388</v>
      </c>
    </row>
    <row r="1975" spans="1:13">
      <c r="A1975">
        <v>1969</v>
      </c>
      <c r="B1975">
        <v>92893</v>
      </c>
      <c r="C1975" t="s">
        <v>4462</v>
      </c>
      <c r="D1975" t="s">
        <v>121</v>
      </c>
      <c r="E1975" t="s">
        <v>4463</v>
      </c>
      <c r="F1975" t="str">
        <f>"00405289"</f>
        <v>00405289</v>
      </c>
      <c r="G1975" t="s">
        <v>47</v>
      </c>
      <c r="H1975" t="s">
        <v>48</v>
      </c>
      <c r="I1975">
        <v>1623</v>
      </c>
      <c r="J1975" t="s">
        <v>21</v>
      </c>
      <c r="K1975">
        <v>0</v>
      </c>
      <c r="M1975">
        <v>1368</v>
      </c>
    </row>
    <row r="1976" spans="1:13">
      <c r="A1976">
        <v>1970</v>
      </c>
      <c r="B1976">
        <v>50654</v>
      </c>
      <c r="C1976" t="s">
        <v>4464</v>
      </c>
      <c r="D1976" t="s">
        <v>121</v>
      </c>
      <c r="E1976" t="s">
        <v>4465</v>
      </c>
      <c r="F1976" t="str">
        <f>"00295089"</f>
        <v>00295089</v>
      </c>
      <c r="G1976" t="s">
        <v>111</v>
      </c>
      <c r="H1976" t="s">
        <v>48</v>
      </c>
      <c r="I1976">
        <v>1620</v>
      </c>
      <c r="J1976" t="s">
        <v>21</v>
      </c>
      <c r="K1976">
        <v>0</v>
      </c>
      <c r="L1976" t="s">
        <v>35</v>
      </c>
      <c r="M1976">
        <v>875</v>
      </c>
    </row>
    <row r="1977" spans="1:13">
      <c r="A1977">
        <v>1971</v>
      </c>
      <c r="B1977">
        <v>89809</v>
      </c>
      <c r="C1977" t="s">
        <v>4466</v>
      </c>
      <c r="D1977" t="s">
        <v>391</v>
      </c>
      <c r="E1977" t="s">
        <v>4467</v>
      </c>
      <c r="F1977" t="str">
        <f>"00187047"</f>
        <v>00187047</v>
      </c>
      <c r="G1977" t="s">
        <v>1203</v>
      </c>
      <c r="H1977" t="s">
        <v>20</v>
      </c>
      <c r="I1977">
        <v>1443</v>
      </c>
      <c r="J1977" t="s">
        <v>21</v>
      </c>
      <c r="K1977">
        <v>0</v>
      </c>
      <c r="M1977">
        <v>1418</v>
      </c>
    </row>
    <row r="1978" spans="1:13">
      <c r="A1978">
        <v>1972</v>
      </c>
      <c r="B1978">
        <v>65263</v>
      </c>
      <c r="C1978" t="s">
        <v>4468</v>
      </c>
      <c r="D1978" t="s">
        <v>80</v>
      </c>
      <c r="E1978" t="s">
        <v>4469</v>
      </c>
      <c r="F1978" t="str">
        <f>"00273781"</f>
        <v>00273781</v>
      </c>
      <c r="G1978" t="s">
        <v>111</v>
      </c>
      <c r="H1978" t="s">
        <v>48</v>
      </c>
      <c r="I1978">
        <v>1620</v>
      </c>
      <c r="J1978" t="s">
        <v>21</v>
      </c>
      <c r="K1978">
        <v>0</v>
      </c>
      <c r="L1978" t="s">
        <v>83</v>
      </c>
      <c r="M1978">
        <v>1238</v>
      </c>
    </row>
    <row r="1979" spans="1:13">
      <c r="A1979">
        <v>1973</v>
      </c>
      <c r="B1979">
        <v>72095</v>
      </c>
      <c r="C1979" t="s">
        <v>4470</v>
      </c>
      <c r="D1979" t="s">
        <v>80</v>
      </c>
      <c r="E1979" t="s">
        <v>4471</v>
      </c>
      <c r="F1979" t="str">
        <f>"00393551"</f>
        <v>00393551</v>
      </c>
      <c r="G1979" t="s">
        <v>125</v>
      </c>
      <c r="H1979" t="s">
        <v>20</v>
      </c>
      <c r="I1979">
        <v>1507</v>
      </c>
      <c r="J1979" t="s">
        <v>21</v>
      </c>
      <c r="K1979">
        <v>0</v>
      </c>
      <c r="L1979" t="s">
        <v>88</v>
      </c>
      <c r="M1979">
        <v>808</v>
      </c>
    </row>
    <row r="1980" spans="1:13">
      <c r="A1980">
        <v>1974</v>
      </c>
      <c r="B1980">
        <v>74147</v>
      </c>
      <c r="C1980" t="s">
        <v>4472</v>
      </c>
      <c r="D1980" t="s">
        <v>105</v>
      </c>
      <c r="E1980" t="s">
        <v>4473</v>
      </c>
      <c r="F1980" t="str">
        <f>"00387604"</f>
        <v>00387604</v>
      </c>
      <c r="G1980" t="s">
        <v>47</v>
      </c>
      <c r="H1980" t="s">
        <v>48</v>
      </c>
      <c r="I1980">
        <v>1623</v>
      </c>
      <c r="J1980" t="s">
        <v>21</v>
      </c>
      <c r="K1980">
        <v>0</v>
      </c>
      <c r="M1980">
        <v>1388</v>
      </c>
    </row>
    <row r="1981" spans="1:13">
      <c r="A1981">
        <v>1975</v>
      </c>
      <c r="B1981">
        <v>46078</v>
      </c>
      <c r="C1981" t="s">
        <v>4474</v>
      </c>
      <c r="D1981" t="s">
        <v>180</v>
      </c>
      <c r="E1981" t="s">
        <v>4475</v>
      </c>
      <c r="F1981" t="str">
        <f>"00317433"</f>
        <v>00317433</v>
      </c>
      <c r="G1981" t="s">
        <v>1561</v>
      </c>
      <c r="H1981" t="s">
        <v>1562</v>
      </c>
      <c r="I1981">
        <v>1616</v>
      </c>
      <c r="J1981" t="s">
        <v>21</v>
      </c>
      <c r="K1981">
        <v>0</v>
      </c>
      <c r="L1981" t="s">
        <v>35</v>
      </c>
      <c r="M1981">
        <v>985</v>
      </c>
    </row>
    <row r="1982" spans="1:13">
      <c r="A1982">
        <v>1976</v>
      </c>
      <c r="B1982">
        <v>114615</v>
      </c>
      <c r="C1982" t="s">
        <v>4476</v>
      </c>
      <c r="D1982" t="s">
        <v>90</v>
      </c>
      <c r="E1982" t="s">
        <v>4477</v>
      </c>
      <c r="F1982" t="str">
        <f>"00419487"</f>
        <v>00419487</v>
      </c>
      <c r="G1982" t="s">
        <v>352</v>
      </c>
      <c r="H1982" t="s">
        <v>20</v>
      </c>
      <c r="I1982">
        <v>1471</v>
      </c>
      <c r="J1982" t="s">
        <v>21</v>
      </c>
      <c r="K1982">
        <v>0</v>
      </c>
      <c r="L1982" t="s">
        <v>112</v>
      </c>
      <c r="M1982">
        <v>850</v>
      </c>
    </row>
    <row r="1983" spans="1:13">
      <c r="A1983">
        <v>1977</v>
      </c>
      <c r="B1983">
        <v>105008</v>
      </c>
      <c r="C1983" t="s">
        <v>4478</v>
      </c>
      <c r="D1983" t="s">
        <v>80</v>
      </c>
      <c r="E1983" t="s">
        <v>4479</v>
      </c>
      <c r="F1983" t="str">
        <f>"00374888"</f>
        <v>00374888</v>
      </c>
      <c r="G1983" t="s">
        <v>170</v>
      </c>
      <c r="H1983" t="s">
        <v>20</v>
      </c>
      <c r="I1983">
        <v>1412</v>
      </c>
      <c r="J1983" t="s">
        <v>21</v>
      </c>
      <c r="K1983">
        <v>0</v>
      </c>
      <c r="L1983" t="s">
        <v>35</v>
      </c>
      <c r="M1983">
        <v>900</v>
      </c>
    </row>
    <row r="1984" spans="1:13">
      <c r="A1984">
        <v>1978</v>
      </c>
      <c r="B1984">
        <v>96300</v>
      </c>
      <c r="C1984" t="s">
        <v>4480</v>
      </c>
      <c r="D1984" t="s">
        <v>1232</v>
      </c>
      <c r="E1984" t="s">
        <v>4481</v>
      </c>
      <c r="F1984" t="str">
        <f>"201511019222"</f>
        <v>201511019222</v>
      </c>
      <c r="G1984" t="s">
        <v>704</v>
      </c>
      <c r="H1984" t="s">
        <v>308</v>
      </c>
      <c r="I1984">
        <v>1590</v>
      </c>
      <c r="J1984" t="s">
        <v>21</v>
      </c>
      <c r="K1984">
        <v>6</v>
      </c>
      <c r="L1984" t="s">
        <v>35</v>
      </c>
      <c r="M1984">
        <v>1057</v>
      </c>
    </row>
    <row r="1985" spans="1:13">
      <c r="A1985">
        <v>1979</v>
      </c>
      <c r="B1985">
        <v>76453</v>
      </c>
      <c r="C1985" t="s">
        <v>4482</v>
      </c>
      <c r="D1985" t="s">
        <v>1232</v>
      </c>
      <c r="E1985" t="s">
        <v>4483</v>
      </c>
      <c r="F1985" t="str">
        <f>"00408417"</f>
        <v>00408417</v>
      </c>
      <c r="G1985" t="s">
        <v>704</v>
      </c>
      <c r="H1985" t="s">
        <v>308</v>
      </c>
      <c r="I1985">
        <v>1590</v>
      </c>
      <c r="J1985" t="s">
        <v>21</v>
      </c>
      <c r="K1985">
        <v>6</v>
      </c>
      <c r="L1985" t="s">
        <v>35</v>
      </c>
      <c r="M1985">
        <v>1106</v>
      </c>
    </row>
    <row r="1986" spans="1:13">
      <c r="A1986">
        <v>1980</v>
      </c>
      <c r="B1986">
        <v>71324</v>
      </c>
      <c r="C1986" t="s">
        <v>4484</v>
      </c>
      <c r="D1986" t="s">
        <v>163</v>
      </c>
      <c r="E1986" t="s">
        <v>4485</v>
      </c>
      <c r="F1986" t="str">
        <f>"201510003610"</f>
        <v>201510003610</v>
      </c>
      <c r="G1986" t="s">
        <v>371</v>
      </c>
      <c r="H1986" t="s">
        <v>20</v>
      </c>
      <c r="I1986">
        <v>1526</v>
      </c>
      <c r="J1986" t="s">
        <v>21</v>
      </c>
      <c r="K1986">
        <v>6</v>
      </c>
      <c r="M1986">
        <v>1463</v>
      </c>
    </row>
    <row r="1987" spans="1:13">
      <c r="A1987">
        <v>1981</v>
      </c>
      <c r="B1987">
        <v>91867</v>
      </c>
      <c r="C1987" t="s">
        <v>4486</v>
      </c>
      <c r="D1987" t="s">
        <v>2454</v>
      </c>
      <c r="E1987" t="s">
        <v>4487</v>
      </c>
      <c r="F1987" t="str">
        <f>"00312270"</f>
        <v>00312270</v>
      </c>
      <c r="G1987" t="s">
        <v>1890</v>
      </c>
      <c r="H1987" t="s">
        <v>3499</v>
      </c>
      <c r="I1987">
        <v>1672</v>
      </c>
      <c r="J1987" t="s">
        <v>21</v>
      </c>
      <c r="K1987">
        <v>0</v>
      </c>
      <c r="M1987">
        <v>1388</v>
      </c>
    </row>
    <row r="1988" spans="1:13">
      <c r="A1988">
        <v>1982</v>
      </c>
      <c r="B1988">
        <v>75767</v>
      </c>
      <c r="C1988" t="s">
        <v>4488</v>
      </c>
      <c r="D1988" t="s">
        <v>243</v>
      </c>
      <c r="E1988" t="s">
        <v>4489</v>
      </c>
      <c r="F1988" t="str">
        <f>"00389436"</f>
        <v>00389436</v>
      </c>
      <c r="G1988" t="s">
        <v>2698</v>
      </c>
      <c r="H1988" t="s">
        <v>3640</v>
      </c>
      <c r="I1988">
        <v>1714</v>
      </c>
      <c r="J1988" t="s">
        <v>21</v>
      </c>
      <c r="K1988">
        <v>0</v>
      </c>
      <c r="M1988">
        <v>1478</v>
      </c>
    </row>
    <row r="1989" spans="1:13">
      <c r="A1989">
        <v>1983</v>
      </c>
      <c r="B1989">
        <v>64604</v>
      </c>
      <c r="C1989" t="s">
        <v>4490</v>
      </c>
      <c r="D1989" t="s">
        <v>105</v>
      </c>
      <c r="E1989" t="s">
        <v>4491</v>
      </c>
      <c r="F1989" t="str">
        <f>"00354793"</f>
        <v>00354793</v>
      </c>
      <c r="G1989" t="s">
        <v>87</v>
      </c>
      <c r="H1989" t="s">
        <v>20</v>
      </c>
      <c r="I1989">
        <v>1436</v>
      </c>
      <c r="J1989" t="s">
        <v>21</v>
      </c>
      <c r="K1989">
        <v>0</v>
      </c>
      <c r="L1989" t="s">
        <v>83</v>
      </c>
      <c r="M1989">
        <v>1313</v>
      </c>
    </row>
    <row r="1990" spans="1:13">
      <c r="A1990">
        <v>1984</v>
      </c>
      <c r="B1990">
        <v>54631</v>
      </c>
      <c r="C1990" t="s">
        <v>4492</v>
      </c>
      <c r="D1990" t="s">
        <v>180</v>
      </c>
      <c r="E1990" t="s">
        <v>4493</v>
      </c>
      <c r="F1990" t="str">
        <f>"00284158"</f>
        <v>00284158</v>
      </c>
      <c r="G1990" t="s">
        <v>3398</v>
      </c>
      <c r="H1990" t="s">
        <v>20</v>
      </c>
      <c r="I1990">
        <v>1518</v>
      </c>
      <c r="J1990" t="s">
        <v>21</v>
      </c>
      <c r="K1990">
        <v>7</v>
      </c>
      <c r="M1990">
        <v>1428</v>
      </c>
    </row>
    <row r="1991" spans="1:13">
      <c r="A1991">
        <v>1985</v>
      </c>
      <c r="B1991">
        <v>66128</v>
      </c>
      <c r="C1991" t="s">
        <v>4494</v>
      </c>
      <c r="D1991" t="s">
        <v>80</v>
      </c>
      <c r="E1991" t="s">
        <v>4495</v>
      </c>
      <c r="F1991" t="str">
        <f>"00135170"</f>
        <v>00135170</v>
      </c>
      <c r="G1991" t="s">
        <v>170</v>
      </c>
      <c r="H1991" t="s">
        <v>20</v>
      </c>
      <c r="I1991">
        <v>1412</v>
      </c>
      <c r="J1991" t="s">
        <v>21</v>
      </c>
      <c r="K1991">
        <v>0</v>
      </c>
      <c r="L1991" t="s">
        <v>35</v>
      </c>
      <c r="M1991">
        <v>950</v>
      </c>
    </row>
    <row r="1992" spans="1:13">
      <c r="A1992">
        <v>1986</v>
      </c>
      <c r="B1992">
        <v>83141</v>
      </c>
      <c r="C1992" t="s">
        <v>4496</v>
      </c>
      <c r="D1992" t="s">
        <v>105</v>
      </c>
      <c r="E1992" t="s">
        <v>4497</v>
      </c>
      <c r="F1992" t="str">
        <f>"00386212"</f>
        <v>00386212</v>
      </c>
      <c r="G1992" t="s">
        <v>1155</v>
      </c>
      <c r="H1992" t="s">
        <v>20</v>
      </c>
      <c r="I1992">
        <v>1480</v>
      </c>
      <c r="J1992" t="s">
        <v>21</v>
      </c>
      <c r="K1992">
        <v>0</v>
      </c>
      <c r="L1992" t="s">
        <v>59</v>
      </c>
      <c r="M1992">
        <v>1088</v>
      </c>
    </row>
    <row r="1993" spans="1:13">
      <c r="A1993">
        <v>1987</v>
      </c>
      <c r="B1993">
        <v>62042</v>
      </c>
      <c r="C1993" t="s">
        <v>4498</v>
      </c>
      <c r="D1993" t="s">
        <v>180</v>
      </c>
      <c r="E1993" t="s">
        <v>4499</v>
      </c>
      <c r="F1993" t="str">
        <f>"201409004372"</f>
        <v>201409004372</v>
      </c>
      <c r="G1993" t="s">
        <v>1695</v>
      </c>
      <c r="H1993" t="s">
        <v>20</v>
      </c>
      <c r="I1993">
        <v>1533</v>
      </c>
      <c r="J1993" t="s">
        <v>21</v>
      </c>
      <c r="K1993">
        <v>0</v>
      </c>
      <c r="L1993" t="s">
        <v>88</v>
      </c>
      <c r="M1993">
        <v>619</v>
      </c>
    </row>
    <row r="1994" spans="1:13">
      <c r="A1994">
        <v>1988</v>
      </c>
      <c r="B1994">
        <v>71997</v>
      </c>
      <c r="C1994" t="s">
        <v>4500</v>
      </c>
      <c r="D1994" t="s">
        <v>80</v>
      </c>
      <c r="E1994" t="s">
        <v>4501</v>
      </c>
      <c r="F1994" t="str">
        <f>"00388146"</f>
        <v>00388146</v>
      </c>
      <c r="G1994" t="s">
        <v>107</v>
      </c>
      <c r="H1994" t="s">
        <v>20</v>
      </c>
      <c r="I1994">
        <v>1472</v>
      </c>
      <c r="J1994" t="s">
        <v>21</v>
      </c>
      <c r="K1994">
        <v>0</v>
      </c>
      <c r="L1994" t="s">
        <v>112</v>
      </c>
      <c r="M1994">
        <v>808</v>
      </c>
    </row>
    <row r="1995" spans="1:13">
      <c r="A1995">
        <v>1989</v>
      </c>
      <c r="B1995">
        <v>98208</v>
      </c>
      <c r="C1995" t="s">
        <v>4502</v>
      </c>
      <c r="D1995" t="s">
        <v>243</v>
      </c>
      <c r="E1995" t="s">
        <v>4503</v>
      </c>
      <c r="F1995" t="str">
        <f>"201507002996"</f>
        <v>201507002996</v>
      </c>
      <c r="G1995" t="s">
        <v>3121</v>
      </c>
      <c r="H1995" t="s">
        <v>20</v>
      </c>
      <c r="I1995">
        <v>1491</v>
      </c>
      <c r="J1995" t="s">
        <v>21</v>
      </c>
      <c r="K1995">
        <v>0</v>
      </c>
      <c r="L1995" t="s">
        <v>59</v>
      </c>
      <c r="M1995">
        <v>1088</v>
      </c>
    </row>
    <row r="1996" spans="1:13">
      <c r="A1996">
        <v>1990</v>
      </c>
      <c r="B1996">
        <v>110934</v>
      </c>
      <c r="C1996" t="s">
        <v>4504</v>
      </c>
      <c r="D1996" t="s">
        <v>76</v>
      </c>
      <c r="E1996" t="s">
        <v>4505</v>
      </c>
      <c r="F1996" t="str">
        <f>"00420114"</f>
        <v>00420114</v>
      </c>
      <c r="G1996" t="s">
        <v>29</v>
      </c>
      <c r="H1996" t="s">
        <v>20</v>
      </c>
      <c r="I1996">
        <v>1446</v>
      </c>
      <c r="J1996" t="s">
        <v>21</v>
      </c>
      <c r="K1996">
        <v>0</v>
      </c>
      <c r="L1996" t="s">
        <v>88</v>
      </c>
      <c r="M1996">
        <v>700</v>
      </c>
    </row>
    <row r="1997" spans="1:13">
      <c r="A1997">
        <v>1991</v>
      </c>
      <c r="B1997">
        <v>93548</v>
      </c>
      <c r="C1997" t="s">
        <v>4506</v>
      </c>
      <c r="D1997" t="s">
        <v>121</v>
      </c>
      <c r="E1997" t="s">
        <v>4507</v>
      </c>
      <c r="F1997" t="str">
        <f>"201511020690"</f>
        <v>201511020690</v>
      </c>
      <c r="G1997" t="s">
        <v>352</v>
      </c>
      <c r="H1997" t="s">
        <v>20</v>
      </c>
      <c r="I1997">
        <v>1471</v>
      </c>
      <c r="J1997" t="s">
        <v>21</v>
      </c>
      <c r="K1997">
        <v>0</v>
      </c>
      <c r="L1997" t="s">
        <v>35</v>
      </c>
      <c r="M1997">
        <v>1000</v>
      </c>
    </row>
    <row r="1998" spans="1:13">
      <c r="A1998">
        <v>1992</v>
      </c>
      <c r="B1998">
        <v>84915</v>
      </c>
      <c r="C1998" t="s">
        <v>4508</v>
      </c>
      <c r="D1998" t="s">
        <v>180</v>
      </c>
      <c r="E1998" t="s">
        <v>4509</v>
      </c>
      <c r="F1998" t="str">
        <f>"00377869"</f>
        <v>00377869</v>
      </c>
      <c r="G1998" t="s">
        <v>4510</v>
      </c>
      <c r="H1998" t="s">
        <v>20</v>
      </c>
      <c r="I1998">
        <v>1511</v>
      </c>
      <c r="J1998" t="s">
        <v>21</v>
      </c>
      <c r="K1998">
        <v>7</v>
      </c>
      <c r="M1998">
        <v>1720</v>
      </c>
    </row>
    <row r="1999" spans="1:13">
      <c r="A1999">
        <v>1993</v>
      </c>
      <c r="B1999">
        <v>79812</v>
      </c>
      <c r="C1999" t="s">
        <v>4511</v>
      </c>
      <c r="D1999" t="s">
        <v>145</v>
      </c>
      <c r="E1999" t="s">
        <v>4512</v>
      </c>
      <c r="F1999" t="str">
        <f>"00397334"</f>
        <v>00397334</v>
      </c>
      <c r="G1999" t="s">
        <v>997</v>
      </c>
      <c r="H1999" t="s">
        <v>20</v>
      </c>
      <c r="I1999">
        <v>1502</v>
      </c>
      <c r="J1999" t="s">
        <v>21</v>
      </c>
      <c r="K1999">
        <v>0</v>
      </c>
      <c r="M1999">
        <v>1338</v>
      </c>
    </row>
    <row r="2000" spans="1:13">
      <c r="A2000">
        <v>1994</v>
      </c>
      <c r="B2000">
        <v>67943</v>
      </c>
      <c r="C2000" t="s">
        <v>4513</v>
      </c>
      <c r="D2000" t="s">
        <v>566</v>
      </c>
      <c r="E2000" t="s">
        <v>4514</v>
      </c>
      <c r="F2000" t="str">
        <f>"00377963"</f>
        <v>00377963</v>
      </c>
      <c r="G2000" t="s">
        <v>1107</v>
      </c>
      <c r="H2000" t="s">
        <v>48</v>
      </c>
      <c r="I2000">
        <v>1626</v>
      </c>
      <c r="J2000" t="s">
        <v>21</v>
      </c>
      <c r="K2000">
        <v>0</v>
      </c>
      <c r="M2000">
        <v>1729</v>
      </c>
    </row>
    <row r="2001" spans="1:13">
      <c r="A2001">
        <v>1995</v>
      </c>
      <c r="B2001">
        <v>47730</v>
      </c>
      <c r="C2001" t="s">
        <v>4515</v>
      </c>
      <c r="D2001" t="s">
        <v>153</v>
      </c>
      <c r="E2001" t="s">
        <v>4516</v>
      </c>
      <c r="F2001" t="str">
        <f>"201511028962"</f>
        <v>201511028962</v>
      </c>
      <c r="G2001" t="s">
        <v>531</v>
      </c>
      <c r="H2001" t="s">
        <v>20</v>
      </c>
      <c r="I2001">
        <v>1445</v>
      </c>
      <c r="J2001" t="s">
        <v>21</v>
      </c>
      <c r="K2001">
        <v>0</v>
      </c>
      <c r="L2001" t="s">
        <v>83</v>
      </c>
      <c r="M2001">
        <v>1388</v>
      </c>
    </row>
    <row r="2002" spans="1:13">
      <c r="A2002">
        <v>1996</v>
      </c>
      <c r="B2002">
        <v>59995</v>
      </c>
      <c r="C2002" t="s">
        <v>4517</v>
      </c>
      <c r="D2002" t="s">
        <v>4518</v>
      </c>
      <c r="E2002" t="s">
        <v>4519</v>
      </c>
      <c r="F2002" t="str">
        <f>"00044068"</f>
        <v>00044068</v>
      </c>
      <c r="G2002" t="s">
        <v>683</v>
      </c>
      <c r="H2002" t="s">
        <v>535</v>
      </c>
      <c r="I2002">
        <v>1670</v>
      </c>
      <c r="J2002" t="s">
        <v>21</v>
      </c>
      <c r="K2002">
        <v>0</v>
      </c>
      <c r="M2002">
        <v>1528</v>
      </c>
    </row>
    <row r="2003" spans="1:13">
      <c r="A2003">
        <v>1997</v>
      </c>
      <c r="B2003">
        <v>83561</v>
      </c>
      <c r="C2003" t="s">
        <v>4520</v>
      </c>
      <c r="D2003" t="s">
        <v>76</v>
      </c>
      <c r="E2003" t="s">
        <v>4521</v>
      </c>
      <c r="F2003" t="str">
        <f>"00256079"</f>
        <v>00256079</v>
      </c>
      <c r="G2003" t="s">
        <v>600</v>
      </c>
      <c r="H2003" t="s">
        <v>366</v>
      </c>
      <c r="I2003">
        <v>1694</v>
      </c>
      <c r="J2003" t="s">
        <v>21</v>
      </c>
      <c r="K2003">
        <v>0</v>
      </c>
      <c r="M2003">
        <v>1528</v>
      </c>
    </row>
    <row r="2004" spans="1:13">
      <c r="A2004">
        <v>1998</v>
      </c>
      <c r="B2004">
        <v>48115</v>
      </c>
      <c r="C2004" t="s">
        <v>4522</v>
      </c>
      <c r="D2004" t="s">
        <v>65</v>
      </c>
      <c r="E2004" t="s">
        <v>4523</v>
      </c>
      <c r="F2004" t="str">
        <f>"00250284"</f>
        <v>00250284</v>
      </c>
      <c r="G2004" t="s">
        <v>2440</v>
      </c>
      <c r="H2004" t="s">
        <v>20</v>
      </c>
      <c r="I2004">
        <v>1567</v>
      </c>
      <c r="J2004" t="s">
        <v>21</v>
      </c>
      <c r="K2004">
        <v>0</v>
      </c>
      <c r="L2004" t="s">
        <v>88</v>
      </c>
      <c r="M2004">
        <v>883</v>
      </c>
    </row>
    <row r="2005" spans="1:13">
      <c r="A2005">
        <v>1999</v>
      </c>
      <c r="B2005">
        <v>111726</v>
      </c>
      <c r="C2005" t="s">
        <v>4524</v>
      </c>
      <c r="D2005" t="s">
        <v>566</v>
      </c>
      <c r="E2005" t="s">
        <v>4525</v>
      </c>
      <c r="F2005" t="str">
        <f>"00416891"</f>
        <v>00416891</v>
      </c>
      <c r="G2005" t="s">
        <v>150</v>
      </c>
      <c r="H2005" t="s">
        <v>151</v>
      </c>
      <c r="I2005">
        <v>1699</v>
      </c>
      <c r="J2005" t="s">
        <v>21</v>
      </c>
      <c r="K2005">
        <v>0</v>
      </c>
      <c r="M2005">
        <v>1528</v>
      </c>
    </row>
    <row r="2006" spans="1:13">
      <c r="A2006">
        <v>2000</v>
      </c>
      <c r="B2006">
        <v>68404</v>
      </c>
      <c r="C2006" t="s">
        <v>4526</v>
      </c>
      <c r="D2006" t="s">
        <v>145</v>
      </c>
      <c r="E2006" t="s">
        <v>4527</v>
      </c>
      <c r="F2006" t="str">
        <f>"00084824"</f>
        <v>00084824</v>
      </c>
      <c r="G2006" t="s">
        <v>437</v>
      </c>
      <c r="H2006" t="s">
        <v>20</v>
      </c>
      <c r="I2006">
        <v>1407</v>
      </c>
      <c r="J2006" t="s">
        <v>21</v>
      </c>
      <c r="K2006">
        <v>0</v>
      </c>
      <c r="L2006" t="s">
        <v>35</v>
      </c>
      <c r="M2006">
        <v>958</v>
      </c>
    </row>
    <row r="2007" spans="1:13">
      <c r="A2007">
        <v>2001</v>
      </c>
      <c r="B2007">
        <v>73141</v>
      </c>
      <c r="C2007" t="s">
        <v>4528</v>
      </c>
      <c r="D2007" t="s">
        <v>163</v>
      </c>
      <c r="E2007" t="s">
        <v>4529</v>
      </c>
      <c r="F2007" t="str">
        <f>"00280700"</f>
        <v>00280700</v>
      </c>
      <c r="G2007" t="s">
        <v>147</v>
      </c>
      <c r="H2007" t="s">
        <v>20</v>
      </c>
      <c r="I2007">
        <v>1529</v>
      </c>
      <c r="J2007" t="s">
        <v>21</v>
      </c>
      <c r="K2007">
        <v>0</v>
      </c>
      <c r="L2007" t="s">
        <v>88</v>
      </c>
      <c r="M2007">
        <v>625</v>
      </c>
    </row>
    <row r="2008" spans="1:13">
      <c r="A2008">
        <v>2002</v>
      </c>
      <c r="B2008">
        <v>47793</v>
      </c>
      <c r="C2008" t="s">
        <v>4530</v>
      </c>
      <c r="D2008" t="s">
        <v>76</v>
      </c>
      <c r="E2008" t="s">
        <v>4531</v>
      </c>
      <c r="F2008" t="str">
        <f>"00360587"</f>
        <v>00360587</v>
      </c>
      <c r="G2008" t="s">
        <v>190</v>
      </c>
      <c r="H2008" t="s">
        <v>191</v>
      </c>
      <c r="I2008">
        <v>1618</v>
      </c>
      <c r="J2008" t="s">
        <v>21</v>
      </c>
      <c r="K2008">
        <v>0</v>
      </c>
      <c r="M2008">
        <v>1418</v>
      </c>
    </row>
    <row r="2009" spans="1:13">
      <c r="A2009">
        <v>2003</v>
      </c>
      <c r="B2009">
        <v>107402</v>
      </c>
      <c r="C2009" t="s">
        <v>4532</v>
      </c>
      <c r="D2009" t="s">
        <v>700</v>
      </c>
      <c r="E2009" t="s">
        <v>4533</v>
      </c>
      <c r="F2009" t="str">
        <f>"00257781"</f>
        <v>00257781</v>
      </c>
      <c r="G2009" t="s">
        <v>258</v>
      </c>
      <c r="H2009" t="s">
        <v>20</v>
      </c>
      <c r="I2009">
        <v>1484</v>
      </c>
      <c r="J2009" t="s">
        <v>21</v>
      </c>
      <c r="K2009">
        <v>0</v>
      </c>
      <c r="M2009">
        <v>1368</v>
      </c>
    </row>
    <row r="2010" spans="1:13">
      <c r="A2010">
        <v>2004</v>
      </c>
      <c r="B2010">
        <v>53837</v>
      </c>
      <c r="C2010" t="s">
        <v>4534</v>
      </c>
      <c r="D2010" t="s">
        <v>180</v>
      </c>
      <c r="E2010" t="s">
        <v>4535</v>
      </c>
      <c r="F2010" t="str">
        <f>"00343299"</f>
        <v>00343299</v>
      </c>
      <c r="G2010" t="s">
        <v>540</v>
      </c>
      <c r="H2010" t="s">
        <v>20</v>
      </c>
      <c r="I2010">
        <v>1435</v>
      </c>
      <c r="J2010" t="s">
        <v>21</v>
      </c>
      <c r="K2010">
        <v>0</v>
      </c>
      <c r="M2010">
        <v>1328</v>
      </c>
    </row>
    <row r="2011" spans="1:13">
      <c r="A2011">
        <v>2005</v>
      </c>
      <c r="B2011">
        <v>91407</v>
      </c>
      <c r="C2011" t="s">
        <v>4536</v>
      </c>
      <c r="D2011" t="s">
        <v>121</v>
      </c>
      <c r="E2011" t="s">
        <v>4537</v>
      </c>
      <c r="F2011" t="str">
        <f>"00296642"</f>
        <v>00296642</v>
      </c>
      <c r="G2011" t="s">
        <v>29</v>
      </c>
      <c r="H2011" t="s">
        <v>20</v>
      </c>
      <c r="I2011">
        <v>1446</v>
      </c>
      <c r="J2011" t="s">
        <v>21</v>
      </c>
      <c r="K2011">
        <v>0</v>
      </c>
      <c r="M2011">
        <v>1438</v>
      </c>
    </row>
    <row r="2012" spans="1:13">
      <c r="A2012">
        <v>2006</v>
      </c>
      <c r="B2012">
        <v>81139</v>
      </c>
      <c r="C2012" t="s">
        <v>4538</v>
      </c>
      <c r="D2012" t="s">
        <v>145</v>
      </c>
      <c r="E2012" t="s">
        <v>4539</v>
      </c>
      <c r="F2012" t="str">
        <f>"00408204"</f>
        <v>00408204</v>
      </c>
      <c r="G2012" t="s">
        <v>696</v>
      </c>
      <c r="H2012" t="s">
        <v>20</v>
      </c>
      <c r="I2012">
        <v>1520</v>
      </c>
      <c r="J2012" t="s">
        <v>21</v>
      </c>
      <c r="K2012">
        <v>0</v>
      </c>
      <c r="M2012">
        <v>1700</v>
      </c>
    </row>
    <row r="2013" spans="1:13">
      <c r="A2013">
        <v>2007</v>
      </c>
      <c r="B2013">
        <v>63661</v>
      </c>
      <c r="C2013" t="s">
        <v>4540</v>
      </c>
      <c r="D2013" t="s">
        <v>198</v>
      </c>
      <c r="E2013" t="s">
        <v>4541</v>
      </c>
      <c r="F2013" t="str">
        <f>"201506004255"</f>
        <v>201506004255</v>
      </c>
      <c r="G2013" t="s">
        <v>4542</v>
      </c>
      <c r="H2013" t="s">
        <v>1610</v>
      </c>
      <c r="I2013">
        <v>1313</v>
      </c>
      <c r="J2013" t="s">
        <v>21</v>
      </c>
      <c r="K2013">
        <v>6</v>
      </c>
      <c r="M2013">
        <v>1113</v>
      </c>
    </row>
    <row r="2014" spans="1:13">
      <c r="A2014">
        <v>2008</v>
      </c>
      <c r="B2014">
        <v>95973</v>
      </c>
      <c r="C2014" t="s">
        <v>4543</v>
      </c>
      <c r="D2014" t="s">
        <v>139</v>
      </c>
      <c r="E2014" t="s">
        <v>4544</v>
      </c>
      <c r="F2014" t="str">
        <f>"00380640"</f>
        <v>00380640</v>
      </c>
      <c r="G2014" t="s">
        <v>1079</v>
      </c>
      <c r="H2014" t="s">
        <v>20</v>
      </c>
      <c r="I2014">
        <v>1433</v>
      </c>
      <c r="J2014" t="s">
        <v>21</v>
      </c>
      <c r="K2014">
        <v>0</v>
      </c>
      <c r="L2014" t="s">
        <v>35</v>
      </c>
      <c r="M2014">
        <v>1000</v>
      </c>
    </row>
    <row r="2015" spans="1:13">
      <c r="A2015">
        <v>2009</v>
      </c>
      <c r="B2015">
        <v>54711</v>
      </c>
      <c r="C2015" t="s">
        <v>4545</v>
      </c>
      <c r="D2015" t="s">
        <v>163</v>
      </c>
      <c r="E2015" t="s">
        <v>4546</v>
      </c>
      <c r="F2015" t="str">
        <f>"00277414"</f>
        <v>00277414</v>
      </c>
      <c r="G2015" t="s">
        <v>1753</v>
      </c>
      <c r="H2015" t="s">
        <v>20</v>
      </c>
      <c r="I2015">
        <v>1544</v>
      </c>
      <c r="J2015" t="s">
        <v>21</v>
      </c>
      <c r="K2015">
        <v>0</v>
      </c>
      <c r="M2015">
        <v>1438</v>
      </c>
    </row>
    <row r="2016" spans="1:13">
      <c r="A2016">
        <v>2010</v>
      </c>
      <c r="B2016">
        <v>77544</v>
      </c>
      <c r="C2016" t="s">
        <v>4547</v>
      </c>
      <c r="D2016" t="s">
        <v>98</v>
      </c>
      <c r="E2016" t="s">
        <v>4548</v>
      </c>
      <c r="F2016" t="str">
        <f>"201604001317"</f>
        <v>201604001317</v>
      </c>
      <c r="G2016" t="s">
        <v>255</v>
      </c>
      <c r="H2016" t="s">
        <v>20</v>
      </c>
      <c r="I2016">
        <v>1513</v>
      </c>
      <c r="J2016" t="s">
        <v>21</v>
      </c>
      <c r="K2016">
        <v>6</v>
      </c>
      <c r="L2016" t="s">
        <v>35</v>
      </c>
      <c r="M2016">
        <v>808</v>
      </c>
    </row>
    <row r="2017" spans="1:13">
      <c r="A2017">
        <v>2011</v>
      </c>
      <c r="B2017">
        <v>110281</v>
      </c>
      <c r="C2017" t="s">
        <v>4549</v>
      </c>
      <c r="D2017" t="s">
        <v>80</v>
      </c>
      <c r="E2017" t="s">
        <v>4550</v>
      </c>
      <c r="F2017" t="str">
        <f>"00005167"</f>
        <v>00005167</v>
      </c>
      <c r="G2017" t="s">
        <v>29</v>
      </c>
      <c r="H2017" t="s">
        <v>20</v>
      </c>
      <c r="I2017">
        <v>1446</v>
      </c>
      <c r="J2017" t="s">
        <v>21</v>
      </c>
      <c r="K2017">
        <v>0</v>
      </c>
      <c r="L2017" t="s">
        <v>35</v>
      </c>
      <c r="M2017">
        <v>975</v>
      </c>
    </row>
    <row r="2018" spans="1:13">
      <c r="A2018">
        <v>2012</v>
      </c>
      <c r="B2018">
        <v>105810</v>
      </c>
      <c r="C2018" t="s">
        <v>4551</v>
      </c>
      <c r="D2018" t="s">
        <v>1001</v>
      </c>
      <c r="E2018" t="s">
        <v>4552</v>
      </c>
      <c r="F2018" t="str">
        <f>"00405311"</f>
        <v>00405311</v>
      </c>
      <c r="G2018" t="s">
        <v>92</v>
      </c>
      <c r="H2018" t="s">
        <v>20</v>
      </c>
      <c r="I2018">
        <v>1425</v>
      </c>
      <c r="J2018" t="s">
        <v>21</v>
      </c>
      <c r="K2018">
        <v>0</v>
      </c>
      <c r="M2018">
        <v>1718</v>
      </c>
    </row>
    <row r="2019" spans="1:13">
      <c r="A2019">
        <v>2013</v>
      </c>
      <c r="B2019">
        <v>92025</v>
      </c>
      <c r="C2019" t="s">
        <v>4553</v>
      </c>
      <c r="D2019" t="s">
        <v>243</v>
      </c>
      <c r="E2019" t="s">
        <v>4554</v>
      </c>
      <c r="F2019" t="str">
        <f>"00369468"</f>
        <v>00369468</v>
      </c>
      <c r="G2019" t="s">
        <v>178</v>
      </c>
      <c r="H2019" t="s">
        <v>20</v>
      </c>
      <c r="I2019">
        <v>1519</v>
      </c>
      <c r="J2019" t="s">
        <v>21</v>
      </c>
      <c r="K2019">
        <v>0</v>
      </c>
      <c r="L2019" t="s">
        <v>35</v>
      </c>
      <c r="M2019">
        <v>1108</v>
      </c>
    </row>
    <row r="2020" spans="1:13">
      <c r="A2020">
        <v>2014</v>
      </c>
      <c r="B2020">
        <v>115271</v>
      </c>
      <c r="C2020" t="s">
        <v>4555</v>
      </c>
      <c r="D2020" t="s">
        <v>180</v>
      </c>
      <c r="E2020" t="s">
        <v>4556</v>
      </c>
      <c r="F2020" t="str">
        <f>"00383498"</f>
        <v>00383498</v>
      </c>
      <c r="G2020" t="s">
        <v>358</v>
      </c>
      <c r="H2020" t="s">
        <v>3663</v>
      </c>
      <c r="I2020">
        <v>1367</v>
      </c>
      <c r="J2020" t="s">
        <v>21</v>
      </c>
      <c r="K2020">
        <v>0</v>
      </c>
      <c r="M2020">
        <v>1388</v>
      </c>
    </row>
    <row r="2021" spans="1:13">
      <c r="A2021">
        <v>2015</v>
      </c>
      <c r="B2021">
        <v>103135</v>
      </c>
      <c r="C2021" t="s">
        <v>4557</v>
      </c>
      <c r="D2021" t="s">
        <v>76</v>
      </c>
      <c r="E2021" t="s">
        <v>4558</v>
      </c>
      <c r="F2021" t="str">
        <f>"00404707"</f>
        <v>00404707</v>
      </c>
      <c r="G2021" t="s">
        <v>583</v>
      </c>
      <c r="H2021" t="s">
        <v>137</v>
      </c>
      <c r="I2021">
        <v>1601</v>
      </c>
      <c r="J2021" t="s">
        <v>21</v>
      </c>
      <c r="K2021">
        <v>0</v>
      </c>
      <c r="M2021">
        <v>1428</v>
      </c>
    </row>
    <row r="2022" spans="1:13">
      <c r="A2022">
        <v>2016</v>
      </c>
      <c r="B2022">
        <v>106844</v>
      </c>
      <c r="C2022" t="s">
        <v>4559</v>
      </c>
      <c r="D2022" t="s">
        <v>145</v>
      </c>
      <c r="E2022" t="s">
        <v>4560</v>
      </c>
      <c r="F2022" t="str">
        <f>"201511022995"</f>
        <v>201511022995</v>
      </c>
      <c r="G2022" t="s">
        <v>47</v>
      </c>
      <c r="H2022" t="s">
        <v>48</v>
      </c>
      <c r="I2022">
        <v>1623</v>
      </c>
      <c r="J2022" t="s">
        <v>21</v>
      </c>
      <c r="K2022">
        <v>0</v>
      </c>
      <c r="M2022">
        <v>1528</v>
      </c>
    </row>
    <row r="2023" spans="1:13">
      <c r="A2023">
        <v>2017</v>
      </c>
      <c r="B2023">
        <v>65784</v>
      </c>
      <c r="C2023" t="s">
        <v>4561</v>
      </c>
      <c r="D2023" t="s">
        <v>76</v>
      </c>
      <c r="E2023" t="s">
        <v>4562</v>
      </c>
      <c r="F2023" t="str">
        <f>"201412003304"</f>
        <v>201412003304</v>
      </c>
      <c r="G2023" t="s">
        <v>502</v>
      </c>
      <c r="H2023" t="s">
        <v>503</v>
      </c>
      <c r="I2023">
        <v>1359</v>
      </c>
      <c r="J2023" t="s">
        <v>21</v>
      </c>
      <c r="K2023">
        <v>0</v>
      </c>
      <c r="L2023" t="s">
        <v>35</v>
      </c>
      <c r="M2023">
        <v>1033</v>
      </c>
    </row>
    <row r="2024" spans="1:13">
      <c r="A2024">
        <v>2018</v>
      </c>
      <c r="B2024">
        <v>70047</v>
      </c>
      <c r="C2024" t="s">
        <v>4563</v>
      </c>
      <c r="D2024" t="s">
        <v>2158</v>
      </c>
      <c r="E2024" t="s">
        <v>4564</v>
      </c>
      <c r="F2024" t="str">
        <f>"00383481"</f>
        <v>00383481</v>
      </c>
      <c r="G2024" t="s">
        <v>1995</v>
      </c>
      <c r="H2024" t="s">
        <v>20</v>
      </c>
      <c r="I2024">
        <v>1508</v>
      </c>
      <c r="J2024" t="s">
        <v>21</v>
      </c>
      <c r="K2024">
        <v>0</v>
      </c>
      <c r="L2024" t="s">
        <v>35</v>
      </c>
      <c r="M2024">
        <v>1000</v>
      </c>
    </row>
    <row r="2025" spans="1:13">
      <c r="A2025">
        <v>2019</v>
      </c>
      <c r="B2025">
        <v>63957</v>
      </c>
      <c r="C2025" t="s">
        <v>4565</v>
      </c>
      <c r="D2025" t="s">
        <v>76</v>
      </c>
      <c r="E2025" t="s">
        <v>4566</v>
      </c>
      <c r="F2025" t="str">
        <f>"00244405"</f>
        <v>00244405</v>
      </c>
      <c r="G2025" t="s">
        <v>600</v>
      </c>
      <c r="H2025" t="s">
        <v>1820</v>
      </c>
      <c r="I2025">
        <v>1721</v>
      </c>
      <c r="J2025" t="s">
        <v>21</v>
      </c>
      <c r="K2025">
        <v>0</v>
      </c>
      <c r="M2025">
        <v>1428</v>
      </c>
    </row>
    <row r="2026" spans="1:13">
      <c r="A2026">
        <v>2020</v>
      </c>
      <c r="B2026">
        <v>62158</v>
      </c>
      <c r="C2026" t="s">
        <v>4567</v>
      </c>
      <c r="D2026" t="s">
        <v>105</v>
      </c>
      <c r="E2026" t="s">
        <v>4568</v>
      </c>
      <c r="F2026" t="str">
        <f>"00278323"</f>
        <v>00278323</v>
      </c>
      <c r="G2026" t="s">
        <v>1764</v>
      </c>
      <c r="H2026" t="s">
        <v>20</v>
      </c>
      <c r="I2026">
        <v>1532</v>
      </c>
      <c r="J2026" t="s">
        <v>21</v>
      </c>
      <c r="K2026">
        <v>0</v>
      </c>
      <c r="L2026" t="s">
        <v>35</v>
      </c>
      <c r="M2026">
        <v>1100</v>
      </c>
    </row>
    <row r="2027" spans="1:13">
      <c r="A2027">
        <v>2021</v>
      </c>
      <c r="B2027">
        <v>47037</v>
      </c>
      <c r="C2027" t="s">
        <v>4569</v>
      </c>
      <c r="D2027" t="s">
        <v>218</v>
      </c>
      <c r="E2027" t="s">
        <v>4570</v>
      </c>
      <c r="F2027" t="str">
        <f>"00369547"</f>
        <v>00369547</v>
      </c>
      <c r="G2027" t="s">
        <v>196</v>
      </c>
      <c r="H2027" t="s">
        <v>20</v>
      </c>
      <c r="I2027">
        <v>1512</v>
      </c>
      <c r="J2027" t="s">
        <v>21</v>
      </c>
      <c r="K2027">
        <v>6</v>
      </c>
      <c r="M2027">
        <v>1488</v>
      </c>
    </row>
    <row r="2028" spans="1:13">
      <c r="A2028">
        <v>2022</v>
      </c>
      <c r="B2028">
        <v>102810</v>
      </c>
      <c r="C2028" t="s">
        <v>4571</v>
      </c>
      <c r="D2028" t="s">
        <v>905</v>
      </c>
      <c r="E2028" t="s">
        <v>4572</v>
      </c>
      <c r="F2028" t="str">
        <f>"00016674"</f>
        <v>00016674</v>
      </c>
      <c r="G2028" t="s">
        <v>1160</v>
      </c>
      <c r="H2028" t="s">
        <v>20</v>
      </c>
      <c r="I2028">
        <v>1424</v>
      </c>
      <c r="J2028" t="s">
        <v>21</v>
      </c>
      <c r="K2028">
        <v>0</v>
      </c>
      <c r="M2028">
        <v>1568</v>
      </c>
    </row>
    <row r="2029" spans="1:13">
      <c r="A2029">
        <v>2023</v>
      </c>
      <c r="B2029">
        <v>53288</v>
      </c>
      <c r="C2029" t="s">
        <v>4573</v>
      </c>
      <c r="D2029" t="s">
        <v>243</v>
      </c>
      <c r="E2029" t="s">
        <v>4574</v>
      </c>
      <c r="F2029" t="str">
        <f>"00291042"</f>
        <v>00291042</v>
      </c>
      <c r="G2029" t="s">
        <v>29</v>
      </c>
      <c r="H2029" t="s">
        <v>20</v>
      </c>
      <c r="I2029">
        <v>1446</v>
      </c>
      <c r="J2029" t="s">
        <v>21</v>
      </c>
      <c r="K2029">
        <v>0</v>
      </c>
      <c r="L2029" t="s">
        <v>59</v>
      </c>
      <c r="M2029">
        <v>938</v>
      </c>
    </row>
    <row r="2030" spans="1:13">
      <c r="A2030">
        <v>2024</v>
      </c>
      <c r="B2030">
        <v>91019</v>
      </c>
      <c r="C2030" t="s">
        <v>4575</v>
      </c>
      <c r="D2030" t="s">
        <v>145</v>
      </c>
      <c r="E2030" t="s">
        <v>4576</v>
      </c>
      <c r="F2030" t="str">
        <f>"00279036"</f>
        <v>00279036</v>
      </c>
      <c r="G2030" t="s">
        <v>798</v>
      </c>
      <c r="H2030" t="s">
        <v>326</v>
      </c>
      <c r="I2030">
        <v>1593</v>
      </c>
      <c r="J2030" t="s">
        <v>21</v>
      </c>
      <c r="K2030">
        <v>0</v>
      </c>
      <c r="L2030" t="s">
        <v>59</v>
      </c>
      <c r="M2030">
        <v>1228</v>
      </c>
    </row>
    <row r="2031" spans="1:13">
      <c r="A2031">
        <v>2025</v>
      </c>
      <c r="B2031">
        <v>51793</v>
      </c>
      <c r="C2031" t="s">
        <v>4577</v>
      </c>
      <c r="D2031" t="s">
        <v>105</v>
      </c>
      <c r="E2031" t="s">
        <v>4578</v>
      </c>
      <c r="F2031" t="str">
        <f>"00233152"</f>
        <v>00233152</v>
      </c>
      <c r="G2031" t="s">
        <v>200</v>
      </c>
      <c r="H2031" t="s">
        <v>20</v>
      </c>
      <c r="I2031">
        <v>1492</v>
      </c>
      <c r="J2031" t="s">
        <v>21</v>
      </c>
      <c r="K2031">
        <v>0</v>
      </c>
      <c r="L2031" t="s">
        <v>35</v>
      </c>
      <c r="M2031">
        <v>972</v>
      </c>
    </row>
    <row r="2032" spans="1:13">
      <c r="A2032">
        <v>2026</v>
      </c>
      <c r="B2032">
        <v>81205</v>
      </c>
      <c r="C2032" t="s">
        <v>4579</v>
      </c>
      <c r="D2032" t="s">
        <v>557</v>
      </c>
      <c r="E2032" t="s">
        <v>4580</v>
      </c>
      <c r="F2032" t="str">
        <f>"00353569"</f>
        <v>00353569</v>
      </c>
      <c r="G2032" t="s">
        <v>150</v>
      </c>
      <c r="H2032" t="s">
        <v>151</v>
      </c>
      <c r="I2032">
        <v>1699</v>
      </c>
      <c r="J2032" t="s">
        <v>21</v>
      </c>
      <c r="K2032">
        <v>0</v>
      </c>
      <c r="M2032">
        <v>1367</v>
      </c>
    </row>
    <row r="2033" spans="1:13">
      <c r="A2033">
        <v>2027</v>
      </c>
      <c r="B2033">
        <v>82792</v>
      </c>
      <c r="C2033" t="s">
        <v>4581</v>
      </c>
      <c r="D2033" t="s">
        <v>80</v>
      </c>
      <c r="E2033" t="s">
        <v>4582</v>
      </c>
      <c r="F2033" t="str">
        <f>"00320198"</f>
        <v>00320198</v>
      </c>
      <c r="G2033" t="s">
        <v>325</v>
      </c>
      <c r="H2033" t="s">
        <v>326</v>
      </c>
      <c r="I2033">
        <v>1592</v>
      </c>
      <c r="J2033" t="s">
        <v>21</v>
      </c>
      <c r="K2033">
        <v>0</v>
      </c>
      <c r="L2033" t="s">
        <v>59</v>
      </c>
      <c r="M2033">
        <v>1088</v>
      </c>
    </row>
    <row r="2034" spans="1:13">
      <c r="A2034">
        <v>2028</v>
      </c>
      <c r="B2034">
        <v>75907</v>
      </c>
      <c r="C2034" t="s">
        <v>4583</v>
      </c>
      <c r="D2034" t="s">
        <v>76</v>
      </c>
      <c r="E2034" t="s">
        <v>4584</v>
      </c>
      <c r="F2034" t="str">
        <f>"00284855"</f>
        <v>00284855</v>
      </c>
      <c r="G2034" t="s">
        <v>1100</v>
      </c>
      <c r="H2034" t="s">
        <v>234</v>
      </c>
      <c r="I2034">
        <v>1344</v>
      </c>
      <c r="J2034" t="s">
        <v>21</v>
      </c>
      <c r="K2034">
        <v>6</v>
      </c>
      <c r="M2034">
        <v>1138</v>
      </c>
    </row>
    <row r="2035" spans="1:13">
      <c r="A2035">
        <v>2029</v>
      </c>
      <c r="B2035">
        <v>90010</v>
      </c>
      <c r="C2035" t="s">
        <v>4585</v>
      </c>
      <c r="D2035" t="s">
        <v>121</v>
      </c>
      <c r="E2035" t="s">
        <v>4586</v>
      </c>
      <c r="F2035" t="str">
        <f>"00374533"</f>
        <v>00374533</v>
      </c>
      <c r="G2035" t="s">
        <v>38</v>
      </c>
      <c r="H2035" t="s">
        <v>39</v>
      </c>
      <c r="I2035">
        <v>1634</v>
      </c>
      <c r="J2035" t="s">
        <v>21</v>
      </c>
      <c r="K2035">
        <v>6</v>
      </c>
      <c r="L2035" t="s">
        <v>35</v>
      </c>
      <c r="M2035">
        <v>608</v>
      </c>
    </row>
    <row r="2036" spans="1:13">
      <c r="A2036">
        <v>2030</v>
      </c>
      <c r="B2036">
        <v>89975</v>
      </c>
      <c r="C2036" t="s">
        <v>4587</v>
      </c>
      <c r="D2036" t="s">
        <v>94</v>
      </c>
      <c r="E2036" t="s">
        <v>4588</v>
      </c>
      <c r="F2036" t="str">
        <f>"201511022430"</f>
        <v>201511022430</v>
      </c>
      <c r="G2036" t="s">
        <v>3395</v>
      </c>
      <c r="H2036" t="s">
        <v>20</v>
      </c>
      <c r="I2036">
        <v>1537</v>
      </c>
      <c r="J2036" t="s">
        <v>21</v>
      </c>
      <c r="K2036">
        <v>6</v>
      </c>
      <c r="L2036" t="s">
        <v>35</v>
      </c>
      <c r="M2036">
        <v>509</v>
      </c>
    </row>
    <row r="2037" spans="1:13">
      <c r="A2037">
        <v>2031</v>
      </c>
      <c r="B2037">
        <v>76729</v>
      </c>
      <c r="C2037" t="s">
        <v>4589</v>
      </c>
      <c r="D2037" t="s">
        <v>373</v>
      </c>
      <c r="E2037" t="s">
        <v>4590</v>
      </c>
      <c r="F2037" t="str">
        <f>"00085921"</f>
        <v>00085921</v>
      </c>
      <c r="G2037" t="s">
        <v>47</v>
      </c>
      <c r="H2037" t="s">
        <v>48</v>
      </c>
      <c r="I2037">
        <v>1623</v>
      </c>
      <c r="J2037" t="s">
        <v>21</v>
      </c>
      <c r="K2037">
        <v>0</v>
      </c>
      <c r="L2037" t="s">
        <v>59</v>
      </c>
      <c r="M2037">
        <v>938</v>
      </c>
    </row>
    <row r="2038" spans="1:13">
      <c r="A2038">
        <v>2032</v>
      </c>
      <c r="B2038">
        <v>79400</v>
      </c>
      <c r="C2038" t="s">
        <v>4591</v>
      </c>
      <c r="D2038" t="s">
        <v>76</v>
      </c>
      <c r="E2038" t="s">
        <v>4592</v>
      </c>
      <c r="F2038" t="str">
        <f>"00396483"</f>
        <v>00396483</v>
      </c>
      <c r="G2038" t="s">
        <v>70</v>
      </c>
      <c r="H2038" t="s">
        <v>71</v>
      </c>
      <c r="I2038">
        <v>1702</v>
      </c>
      <c r="J2038" t="s">
        <v>21</v>
      </c>
      <c r="K2038">
        <v>0</v>
      </c>
      <c r="L2038" t="s">
        <v>35</v>
      </c>
      <c r="M2038">
        <v>1004</v>
      </c>
    </row>
    <row r="2039" spans="1:13">
      <c r="A2039">
        <v>2033</v>
      </c>
      <c r="B2039">
        <v>49037</v>
      </c>
      <c r="C2039" t="s">
        <v>4593</v>
      </c>
      <c r="D2039" t="s">
        <v>905</v>
      </c>
      <c r="E2039" t="s">
        <v>4594</v>
      </c>
      <c r="F2039" t="str">
        <f>"00260788"</f>
        <v>00260788</v>
      </c>
      <c r="G2039" t="s">
        <v>3280</v>
      </c>
      <c r="H2039" t="s">
        <v>20</v>
      </c>
      <c r="I2039">
        <v>1557</v>
      </c>
      <c r="J2039" t="s">
        <v>21</v>
      </c>
      <c r="K2039">
        <v>6</v>
      </c>
      <c r="M2039">
        <v>1528</v>
      </c>
    </row>
    <row r="2040" spans="1:13">
      <c r="A2040">
        <v>2034</v>
      </c>
      <c r="B2040">
        <v>101537</v>
      </c>
      <c r="C2040" t="s">
        <v>4595</v>
      </c>
      <c r="D2040" t="s">
        <v>180</v>
      </c>
      <c r="E2040" t="s">
        <v>4596</v>
      </c>
      <c r="F2040" t="str">
        <f>"00375782"</f>
        <v>00375782</v>
      </c>
      <c r="G2040" t="s">
        <v>1393</v>
      </c>
      <c r="H2040" t="s">
        <v>20</v>
      </c>
      <c r="I2040">
        <v>1498</v>
      </c>
      <c r="J2040" t="s">
        <v>21</v>
      </c>
      <c r="K2040">
        <v>0</v>
      </c>
      <c r="L2040" t="s">
        <v>59</v>
      </c>
      <c r="M2040">
        <v>1408</v>
      </c>
    </row>
    <row r="2041" spans="1:13">
      <c r="A2041">
        <v>2035</v>
      </c>
      <c r="B2041">
        <v>84147</v>
      </c>
      <c r="C2041" t="s">
        <v>4597</v>
      </c>
      <c r="D2041" t="s">
        <v>145</v>
      </c>
      <c r="E2041" t="s">
        <v>4598</v>
      </c>
      <c r="F2041" t="str">
        <f>"00375437"</f>
        <v>00375437</v>
      </c>
      <c r="G2041" t="s">
        <v>70</v>
      </c>
      <c r="H2041" t="s">
        <v>71</v>
      </c>
      <c r="I2041">
        <v>1702</v>
      </c>
      <c r="J2041" t="s">
        <v>21</v>
      </c>
      <c r="K2041">
        <v>0</v>
      </c>
      <c r="L2041" t="s">
        <v>35</v>
      </c>
      <c r="M2041">
        <v>900</v>
      </c>
    </row>
    <row r="2042" spans="1:13">
      <c r="A2042">
        <v>2036</v>
      </c>
      <c r="B2042">
        <v>99529</v>
      </c>
      <c r="C2042" t="s">
        <v>4599</v>
      </c>
      <c r="D2042" t="s">
        <v>80</v>
      </c>
      <c r="E2042" t="s">
        <v>4600</v>
      </c>
      <c r="F2042" t="str">
        <f>"00196678"</f>
        <v>00196678</v>
      </c>
      <c r="G2042" t="s">
        <v>245</v>
      </c>
      <c r="H2042" t="s">
        <v>20</v>
      </c>
      <c r="I2042">
        <v>1406</v>
      </c>
      <c r="J2042" t="s">
        <v>21</v>
      </c>
      <c r="K2042">
        <v>0</v>
      </c>
      <c r="M2042">
        <v>1378</v>
      </c>
    </row>
    <row r="2043" spans="1:13">
      <c r="A2043">
        <v>2037</v>
      </c>
      <c r="B2043">
        <v>100296</v>
      </c>
      <c r="C2043" t="s">
        <v>4601</v>
      </c>
      <c r="D2043" t="s">
        <v>1680</v>
      </c>
      <c r="E2043" t="s">
        <v>4602</v>
      </c>
      <c r="F2043" t="str">
        <f>"00273512"</f>
        <v>00273512</v>
      </c>
      <c r="G2043" t="s">
        <v>111</v>
      </c>
      <c r="H2043" t="s">
        <v>48</v>
      </c>
      <c r="I2043">
        <v>1620</v>
      </c>
      <c r="J2043" t="s">
        <v>21</v>
      </c>
      <c r="K2043">
        <v>0</v>
      </c>
      <c r="L2043" t="s">
        <v>59</v>
      </c>
      <c r="M2043">
        <v>1028</v>
      </c>
    </row>
    <row r="2044" spans="1:13">
      <c r="A2044">
        <v>2038</v>
      </c>
      <c r="B2044">
        <v>67656</v>
      </c>
      <c r="C2044" t="s">
        <v>4603</v>
      </c>
      <c r="D2044" t="s">
        <v>145</v>
      </c>
      <c r="E2044" t="s">
        <v>4604</v>
      </c>
      <c r="F2044" t="str">
        <f>"00258739"</f>
        <v>00258739</v>
      </c>
      <c r="G2044" t="s">
        <v>47</v>
      </c>
      <c r="H2044" t="s">
        <v>48</v>
      </c>
      <c r="I2044">
        <v>1623</v>
      </c>
      <c r="J2044" t="s">
        <v>21</v>
      </c>
      <c r="K2044">
        <v>0</v>
      </c>
      <c r="L2044" t="s">
        <v>83</v>
      </c>
      <c r="M2044">
        <v>1228</v>
      </c>
    </row>
    <row r="2045" spans="1:13">
      <c r="A2045">
        <v>2039</v>
      </c>
      <c r="B2045">
        <v>110888</v>
      </c>
      <c r="C2045" t="s">
        <v>4605</v>
      </c>
      <c r="D2045" t="s">
        <v>205</v>
      </c>
      <c r="E2045" t="s">
        <v>4606</v>
      </c>
      <c r="F2045" t="str">
        <f>"00346775"</f>
        <v>00346775</v>
      </c>
      <c r="G2045" t="s">
        <v>1160</v>
      </c>
      <c r="H2045" t="s">
        <v>20</v>
      </c>
      <c r="I2045">
        <v>1424</v>
      </c>
      <c r="J2045" t="s">
        <v>21</v>
      </c>
      <c r="K2045">
        <v>0</v>
      </c>
      <c r="M2045">
        <v>1577</v>
      </c>
    </row>
    <row r="2046" spans="1:13">
      <c r="A2046">
        <v>2040</v>
      </c>
      <c r="B2046">
        <v>111705</v>
      </c>
      <c r="C2046" t="s">
        <v>4607</v>
      </c>
      <c r="D2046" t="s">
        <v>65</v>
      </c>
      <c r="E2046" t="s">
        <v>4608</v>
      </c>
      <c r="F2046" t="str">
        <f>"201511019599"</f>
        <v>201511019599</v>
      </c>
      <c r="G2046" t="s">
        <v>38</v>
      </c>
      <c r="H2046" t="s">
        <v>39</v>
      </c>
      <c r="I2046">
        <v>1634</v>
      </c>
      <c r="J2046" t="s">
        <v>21</v>
      </c>
      <c r="K2046">
        <v>0</v>
      </c>
      <c r="L2046" t="s">
        <v>88</v>
      </c>
      <c r="M2046">
        <v>400</v>
      </c>
    </row>
    <row r="2047" spans="1:13">
      <c r="A2047">
        <v>2041</v>
      </c>
      <c r="B2047">
        <v>63688</v>
      </c>
      <c r="C2047" t="s">
        <v>4609</v>
      </c>
      <c r="D2047" t="s">
        <v>243</v>
      </c>
      <c r="E2047" t="s">
        <v>4610</v>
      </c>
      <c r="F2047" t="str">
        <f>"00096109"</f>
        <v>00096109</v>
      </c>
      <c r="G2047" t="s">
        <v>107</v>
      </c>
      <c r="H2047" t="s">
        <v>20</v>
      </c>
      <c r="I2047">
        <v>1472</v>
      </c>
      <c r="J2047" t="s">
        <v>21</v>
      </c>
      <c r="K2047">
        <v>0</v>
      </c>
      <c r="L2047" t="s">
        <v>35</v>
      </c>
      <c r="M2047">
        <v>958</v>
      </c>
    </row>
    <row r="2048" spans="1:13">
      <c r="A2048">
        <v>2042</v>
      </c>
      <c r="B2048">
        <v>53478</v>
      </c>
      <c r="C2048" t="s">
        <v>4611</v>
      </c>
      <c r="D2048" t="s">
        <v>243</v>
      </c>
      <c r="E2048" t="s">
        <v>4612</v>
      </c>
      <c r="F2048" t="str">
        <f>"00225697"</f>
        <v>00225697</v>
      </c>
      <c r="G2048" t="s">
        <v>96</v>
      </c>
      <c r="H2048" t="s">
        <v>20</v>
      </c>
      <c r="I2048">
        <v>1474</v>
      </c>
      <c r="J2048" t="s">
        <v>21</v>
      </c>
      <c r="K2048">
        <v>0</v>
      </c>
      <c r="M2048">
        <v>1548</v>
      </c>
    </row>
    <row r="2049" spans="1:13">
      <c r="A2049">
        <v>2043</v>
      </c>
      <c r="B2049">
        <v>49777</v>
      </c>
      <c r="C2049" t="s">
        <v>4613</v>
      </c>
      <c r="D2049" t="s">
        <v>80</v>
      </c>
      <c r="E2049" t="s">
        <v>4614</v>
      </c>
      <c r="F2049" t="str">
        <f>"00260704"</f>
        <v>00260704</v>
      </c>
      <c r="G2049" t="s">
        <v>488</v>
      </c>
      <c r="H2049" t="s">
        <v>20</v>
      </c>
      <c r="I2049">
        <v>1482</v>
      </c>
      <c r="J2049" t="s">
        <v>21</v>
      </c>
      <c r="K2049">
        <v>0</v>
      </c>
      <c r="L2049" t="s">
        <v>35</v>
      </c>
      <c r="M2049">
        <v>900</v>
      </c>
    </row>
    <row r="2050" spans="1:13">
      <c r="A2050">
        <v>2044</v>
      </c>
      <c r="B2050">
        <v>80322</v>
      </c>
      <c r="C2050" t="s">
        <v>4615</v>
      </c>
      <c r="D2050" t="s">
        <v>80</v>
      </c>
      <c r="E2050" t="s">
        <v>4616</v>
      </c>
      <c r="F2050" t="str">
        <f>"00096247"</f>
        <v>00096247</v>
      </c>
      <c r="G2050" t="s">
        <v>540</v>
      </c>
      <c r="H2050" t="s">
        <v>20</v>
      </c>
      <c r="I2050">
        <v>1435</v>
      </c>
      <c r="J2050" t="s">
        <v>21</v>
      </c>
      <c r="K2050">
        <v>0</v>
      </c>
      <c r="M2050">
        <v>1339</v>
      </c>
    </row>
    <row r="2051" spans="1:13">
      <c r="A2051">
        <v>2045</v>
      </c>
      <c r="B2051">
        <v>103083</v>
      </c>
      <c r="C2051" t="s">
        <v>4617</v>
      </c>
      <c r="D2051" t="s">
        <v>102</v>
      </c>
      <c r="E2051" t="s">
        <v>4618</v>
      </c>
      <c r="F2051" t="str">
        <f>"00336378"</f>
        <v>00336378</v>
      </c>
      <c r="G2051" t="s">
        <v>47</v>
      </c>
      <c r="H2051" t="s">
        <v>48</v>
      </c>
      <c r="I2051">
        <v>1623</v>
      </c>
      <c r="J2051" t="s">
        <v>21</v>
      </c>
      <c r="K2051">
        <v>0</v>
      </c>
      <c r="L2051" t="s">
        <v>59</v>
      </c>
      <c r="M2051">
        <v>988</v>
      </c>
    </row>
    <row r="2052" spans="1:13">
      <c r="A2052">
        <v>2046</v>
      </c>
      <c r="B2052">
        <v>59770</v>
      </c>
      <c r="C2052" t="s">
        <v>4619</v>
      </c>
      <c r="D2052" t="s">
        <v>153</v>
      </c>
      <c r="E2052" t="s">
        <v>4620</v>
      </c>
      <c r="F2052" t="str">
        <f>"00254044"</f>
        <v>00254044</v>
      </c>
      <c r="G2052" t="s">
        <v>203</v>
      </c>
      <c r="H2052" t="s">
        <v>20</v>
      </c>
      <c r="I2052">
        <v>1476</v>
      </c>
      <c r="J2052" t="s">
        <v>21</v>
      </c>
      <c r="K2052">
        <v>6</v>
      </c>
      <c r="M2052">
        <v>1328</v>
      </c>
    </row>
    <row r="2053" spans="1:13">
      <c r="A2053">
        <v>2047</v>
      </c>
      <c r="B2053">
        <v>67357</v>
      </c>
      <c r="C2053" t="s">
        <v>4621</v>
      </c>
      <c r="D2053" t="s">
        <v>80</v>
      </c>
      <c r="E2053" t="s">
        <v>4622</v>
      </c>
      <c r="F2053" t="str">
        <f>"00033964"</f>
        <v>00033964</v>
      </c>
      <c r="G2053" t="s">
        <v>47</v>
      </c>
      <c r="H2053" t="s">
        <v>48</v>
      </c>
      <c r="I2053">
        <v>1623</v>
      </c>
      <c r="J2053" t="s">
        <v>21</v>
      </c>
      <c r="K2053">
        <v>0</v>
      </c>
      <c r="L2053" t="s">
        <v>35</v>
      </c>
      <c r="M2053">
        <v>1033</v>
      </c>
    </row>
    <row r="2054" spans="1:13">
      <c r="A2054">
        <v>2048</v>
      </c>
      <c r="B2054">
        <v>72423</v>
      </c>
      <c r="C2054" t="s">
        <v>4623</v>
      </c>
      <c r="D2054" t="s">
        <v>76</v>
      </c>
      <c r="E2054" t="s">
        <v>4624</v>
      </c>
      <c r="F2054" t="str">
        <f>"201511041343"</f>
        <v>201511041343</v>
      </c>
      <c r="G2054" t="s">
        <v>511</v>
      </c>
      <c r="H2054" t="s">
        <v>3640</v>
      </c>
      <c r="I2054">
        <v>1713</v>
      </c>
      <c r="J2054" t="s">
        <v>21</v>
      </c>
      <c r="K2054">
        <v>6</v>
      </c>
      <c r="L2054" t="s">
        <v>35</v>
      </c>
      <c r="M2054">
        <v>850</v>
      </c>
    </row>
    <row r="2055" spans="1:13">
      <c r="A2055">
        <v>2049</v>
      </c>
      <c r="B2055">
        <v>65480</v>
      </c>
      <c r="C2055" t="s">
        <v>4625</v>
      </c>
      <c r="D2055" t="s">
        <v>4626</v>
      </c>
      <c r="E2055" t="s">
        <v>4627</v>
      </c>
      <c r="F2055" t="str">
        <f>"201511009653"</f>
        <v>201511009653</v>
      </c>
      <c r="G2055" t="s">
        <v>1764</v>
      </c>
      <c r="H2055" t="s">
        <v>20</v>
      </c>
      <c r="I2055">
        <v>1532</v>
      </c>
      <c r="J2055" t="s">
        <v>21</v>
      </c>
      <c r="K2055">
        <v>0</v>
      </c>
      <c r="L2055" t="s">
        <v>35</v>
      </c>
      <c r="M2055">
        <v>1133</v>
      </c>
    </row>
    <row r="2056" spans="1:13">
      <c r="A2056">
        <v>2050</v>
      </c>
      <c r="B2056">
        <v>78814</v>
      </c>
      <c r="C2056" t="s">
        <v>4628</v>
      </c>
      <c r="D2056" t="s">
        <v>98</v>
      </c>
      <c r="E2056" t="s">
        <v>4629</v>
      </c>
      <c r="F2056" t="str">
        <f>"00380796"</f>
        <v>00380796</v>
      </c>
      <c r="G2056" t="s">
        <v>230</v>
      </c>
      <c r="H2056" t="s">
        <v>20</v>
      </c>
      <c r="I2056">
        <v>1545</v>
      </c>
      <c r="J2056" t="s">
        <v>21</v>
      </c>
      <c r="K2056">
        <v>0</v>
      </c>
      <c r="L2056" t="s">
        <v>35</v>
      </c>
      <c r="M2056">
        <v>1008</v>
      </c>
    </row>
    <row r="2057" spans="1:13">
      <c r="A2057">
        <v>2051</v>
      </c>
      <c r="B2057">
        <v>100131</v>
      </c>
      <c r="C2057" t="s">
        <v>4630</v>
      </c>
      <c r="D2057" t="s">
        <v>76</v>
      </c>
      <c r="E2057" t="s">
        <v>4631</v>
      </c>
      <c r="F2057" t="str">
        <f>"00150497"</f>
        <v>00150497</v>
      </c>
      <c r="G2057" t="s">
        <v>125</v>
      </c>
      <c r="H2057" t="s">
        <v>20</v>
      </c>
      <c r="I2057">
        <v>1507</v>
      </c>
      <c r="J2057" t="s">
        <v>21</v>
      </c>
      <c r="K2057">
        <v>0</v>
      </c>
      <c r="L2057" t="s">
        <v>83</v>
      </c>
      <c r="M2057">
        <v>1238</v>
      </c>
    </row>
    <row r="2058" spans="1:13">
      <c r="A2058">
        <v>2052</v>
      </c>
      <c r="B2058">
        <v>61322</v>
      </c>
      <c r="C2058" t="s">
        <v>4632</v>
      </c>
      <c r="D2058" t="s">
        <v>205</v>
      </c>
      <c r="E2058" t="s">
        <v>4633</v>
      </c>
      <c r="F2058" t="str">
        <f>"00372461"</f>
        <v>00372461</v>
      </c>
      <c r="G2058" t="s">
        <v>1695</v>
      </c>
      <c r="H2058" t="s">
        <v>20</v>
      </c>
      <c r="I2058">
        <v>1533</v>
      </c>
      <c r="J2058" t="s">
        <v>21</v>
      </c>
      <c r="K2058">
        <v>0</v>
      </c>
      <c r="L2058" t="s">
        <v>88</v>
      </c>
      <c r="M2058">
        <v>525</v>
      </c>
    </row>
    <row r="2059" spans="1:13">
      <c r="A2059">
        <v>2053</v>
      </c>
      <c r="B2059">
        <v>78363</v>
      </c>
      <c r="C2059" t="s">
        <v>4634</v>
      </c>
      <c r="D2059" t="s">
        <v>153</v>
      </c>
      <c r="E2059" t="s">
        <v>4635</v>
      </c>
      <c r="F2059" t="str">
        <f>"00386052"</f>
        <v>00386052</v>
      </c>
      <c r="G2059" t="s">
        <v>125</v>
      </c>
      <c r="H2059" t="s">
        <v>20</v>
      </c>
      <c r="I2059">
        <v>1507</v>
      </c>
      <c r="J2059" t="s">
        <v>21</v>
      </c>
      <c r="K2059">
        <v>0</v>
      </c>
      <c r="M2059">
        <v>1388</v>
      </c>
    </row>
    <row r="2060" spans="1:13">
      <c r="A2060">
        <v>2054</v>
      </c>
      <c r="B2060">
        <v>96213</v>
      </c>
      <c r="C2060" t="s">
        <v>4636</v>
      </c>
      <c r="D2060" t="s">
        <v>153</v>
      </c>
      <c r="E2060" t="s">
        <v>4637</v>
      </c>
      <c r="F2060" t="str">
        <f>"00382041"</f>
        <v>00382041</v>
      </c>
      <c r="G2060" t="s">
        <v>125</v>
      </c>
      <c r="H2060" t="s">
        <v>20</v>
      </c>
      <c r="I2060">
        <v>1507</v>
      </c>
      <c r="J2060" t="s">
        <v>21</v>
      </c>
      <c r="K2060">
        <v>0</v>
      </c>
      <c r="L2060" t="s">
        <v>35</v>
      </c>
      <c r="M2060">
        <v>1200</v>
      </c>
    </row>
    <row r="2061" spans="1:13">
      <c r="A2061">
        <v>2055</v>
      </c>
      <c r="B2061">
        <v>101916</v>
      </c>
      <c r="C2061" t="s">
        <v>4638</v>
      </c>
      <c r="D2061" t="s">
        <v>243</v>
      </c>
      <c r="E2061" t="s">
        <v>4639</v>
      </c>
      <c r="F2061" t="str">
        <f>"00401043"</f>
        <v>00401043</v>
      </c>
      <c r="G2061" t="s">
        <v>63</v>
      </c>
      <c r="H2061" t="s">
        <v>20</v>
      </c>
      <c r="I2061">
        <v>1576</v>
      </c>
      <c r="J2061" t="s">
        <v>21</v>
      </c>
      <c r="K2061">
        <v>0</v>
      </c>
      <c r="M2061">
        <v>1328</v>
      </c>
    </row>
    <row r="2062" spans="1:13">
      <c r="A2062">
        <v>2056</v>
      </c>
      <c r="B2062">
        <v>78516</v>
      </c>
      <c r="C2062" t="s">
        <v>4640</v>
      </c>
      <c r="D2062" t="s">
        <v>249</v>
      </c>
      <c r="E2062" t="s">
        <v>4641</v>
      </c>
      <c r="F2062" t="str">
        <f>"00396591"</f>
        <v>00396591</v>
      </c>
      <c r="G2062" t="s">
        <v>150</v>
      </c>
      <c r="H2062" t="s">
        <v>151</v>
      </c>
      <c r="I2062">
        <v>1699</v>
      </c>
      <c r="J2062" t="s">
        <v>21</v>
      </c>
      <c r="K2062">
        <v>0</v>
      </c>
      <c r="L2062" t="s">
        <v>88</v>
      </c>
      <c r="M2062">
        <v>608</v>
      </c>
    </row>
    <row r="2063" spans="1:13">
      <c r="A2063">
        <v>2057</v>
      </c>
      <c r="B2063">
        <v>56926</v>
      </c>
      <c r="C2063" t="s">
        <v>4642</v>
      </c>
      <c r="D2063" t="s">
        <v>90</v>
      </c>
      <c r="E2063" t="s">
        <v>4643</v>
      </c>
      <c r="F2063" t="str">
        <f>"00381607"</f>
        <v>00381607</v>
      </c>
      <c r="G2063" t="s">
        <v>1079</v>
      </c>
      <c r="H2063" t="s">
        <v>20</v>
      </c>
      <c r="I2063">
        <v>1433</v>
      </c>
      <c r="J2063" t="s">
        <v>21</v>
      </c>
      <c r="K2063">
        <v>0</v>
      </c>
      <c r="M2063">
        <v>1468</v>
      </c>
    </row>
    <row r="2064" spans="1:13">
      <c r="A2064">
        <v>2058</v>
      </c>
      <c r="B2064">
        <v>75713</v>
      </c>
      <c r="C2064" t="s">
        <v>4644</v>
      </c>
      <c r="D2064" t="s">
        <v>180</v>
      </c>
      <c r="E2064" t="s">
        <v>4645</v>
      </c>
      <c r="F2064" t="str">
        <f>"00385946"</f>
        <v>00385946</v>
      </c>
      <c r="G2064" t="s">
        <v>278</v>
      </c>
      <c r="H2064" t="s">
        <v>1499</v>
      </c>
      <c r="I2064">
        <v>1597</v>
      </c>
      <c r="J2064" t="s">
        <v>21</v>
      </c>
      <c r="K2064">
        <v>0</v>
      </c>
      <c r="M2064">
        <v>1418</v>
      </c>
    </row>
    <row r="2065" spans="1:13">
      <c r="A2065">
        <v>2059</v>
      </c>
      <c r="B2065">
        <v>92301</v>
      </c>
      <c r="C2065" t="s">
        <v>4646</v>
      </c>
      <c r="D2065" t="s">
        <v>726</v>
      </c>
      <c r="E2065" t="s">
        <v>4647</v>
      </c>
      <c r="F2065" t="str">
        <f>"00254932"</f>
        <v>00254932</v>
      </c>
      <c r="G2065" t="s">
        <v>111</v>
      </c>
      <c r="H2065" t="s">
        <v>48</v>
      </c>
      <c r="I2065">
        <v>1620</v>
      </c>
      <c r="J2065" t="s">
        <v>21</v>
      </c>
      <c r="K2065">
        <v>0</v>
      </c>
      <c r="M2065">
        <v>1528</v>
      </c>
    </row>
    <row r="2066" spans="1:13">
      <c r="A2066">
        <v>2060</v>
      </c>
      <c r="B2066">
        <v>57826</v>
      </c>
      <c r="C2066" t="s">
        <v>4648</v>
      </c>
      <c r="D2066" t="s">
        <v>180</v>
      </c>
      <c r="E2066" t="s">
        <v>4649</v>
      </c>
      <c r="F2066" t="str">
        <f>"00361036"</f>
        <v>00361036</v>
      </c>
      <c r="G2066" t="s">
        <v>365</v>
      </c>
      <c r="H2066" t="s">
        <v>366</v>
      </c>
      <c r="I2066">
        <v>1692</v>
      </c>
      <c r="J2066" t="s">
        <v>21</v>
      </c>
      <c r="K2066">
        <v>0</v>
      </c>
      <c r="L2066" t="s">
        <v>35</v>
      </c>
      <c r="M2066">
        <v>1057</v>
      </c>
    </row>
    <row r="2067" spans="1:13">
      <c r="A2067">
        <v>2061</v>
      </c>
      <c r="B2067">
        <v>107841</v>
      </c>
      <c r="C2067" t="s">
        <v>4650</v>
      </c>
      <c r="D2067" t="s">
        <v>109</v>
      </c>
      <c r="E2067" t="s">
        <v>4651</v>
      </c>
      <c r="F2067" t="str">
        <f>"00402180"</f>
        <v>00402180</v>
      </c>
      <c r="G2067" t="s">
        <v>107</v>
      </c>
      <c r="H2067" t="s">
        <v>20</v>
      </c>
      <c r="I2067">
        <v>1472</v>
      </c>
      <c r="J2067" t="s">
        <v>21</v>
      </c>
      <c r="K2067">
        <v>0</v>
      </c>
      <c r="L2067" t="s">
        <v>35</v>
      </c>
      <c r="M2067">
        <v>908</v>
      </c>
    </row>
    <row r="2068" spans="1:13">
      <c r="A2068">
        <v>2062</v>
      </c>
      <c r="B2068">
        <v>46363</v>
      </c>
      <c r="C2068" t="s">
        <v>4652</v>
      </c>
      <c r="D2068" t="s">
        <v>98</v>
      </c>
      <c r="E2068" t="s">
        <v>4653</v>
      </c>
      <c r="F2068" t="str">
        <f>"00186241"</f>
        <v>00186241</v>
      </c>
      <c r="G2068" t="s">
        <v>465</v>
      </c>
      <c r="H2068" t="s">
        <v>20</v>
      </c>
      <c r="I2068">
        <v>1534</v>
      </c>
      <c r="J2068" t="s">
        <v>21</v>
      </c>
      <c r="K2068">
        <v>0</v>
      </c>
      <c r="L2068" t="s">
        <v>35</v>
      </c>
      <c r="M2068">
        <v>850</v>
      </c>
    </row>
    <row r="2069" spans="1:13">
      <c r="A2069">
        <v>2063</v>
      </c>
      <c r="B2069">
        <v>71459</v>
      </c>
      <c r="C2069" t="s">
        <v>4654</v>
      </c>
      <c r="D2069" t="s">
        <v>76</v>
      </c>
      <c r="E2069" t="s">
        <v>4655</v>
      </c>
      <c r="F2069" t="str">
        <f>"00402628"</f>
        <v>00402628</v>
      </c>
      <c r="G2069" t="s">
        <v>791</v>
      </c>
      <c r="H2069" t="s">
        <v>20</v>
      </c>
      <c r="I2069">
        <v>1506</v>
      </c>
      <c r="J2069" t="s">
        <v>21</v>
      </c>
      <c r="K2069">
        <v>0</v>
      </c>
      <c r="M2069">
        <v>1388</v>
      </c>
    </row>
    <row r="2070" spans="1:13">
      <c r="A2070">
        <v>2064</v>
      </c>
      <c r="B2070">
        <v>88109</v>
      </c>
      <c r="C2070" t="s">
        <v>4656</v>
      </c>
      <c r="D2070" t="s">
        <v>243</v>
      </c>
      <c r="E2070" t="s">
        <v>4657</v>
      </c>
      <c r="F2070" t="str">
        <f>"00377638"</f>
        <v>00377638</v>
      </c>
      <c r="G2070" t="s">
        <v>107</v>
      </c>
      <c r="H2070" t="s">
        <v>20</v>
      </c>
      <c r="I2070">
        <v>1472</v>
      </c>
      <c r="J2070" t="s">
        <v>21</v>
      </c>
      <c r="K2070">
        <v>0</v>
      </c>
      <c r="L2070" t="s">
        <v>35</v>
      </c>
      <c r="M2070">
        <v>908</v>
      </c>
    </row>
    <row r="2071" spans="1:13">
      <c r="A2071">
        <v>2065</v>
      </c>
      <c r="B2071">
        <v>74850</v>
      </c>
      <c r="C2071" t="s">
        <v>4658</v>
      </c>
      <c r="D2071" t="s">
        <v>109</v>
      </c>
      <c r="E2071" t="s">
        <v>4659</v>
      </c>
      <c r="F2071" t="str">
        <f>"00385345"</f>
        <v>00385345</v>
      </c>
      <c r="G2071" t="s">
        <v>639</v>
      </c>
      <c r="H2071" t="s">
        <v>48</v>
      </c>
      <c r="I2071">
        <v>1629</v>
      </c>
      <c r="J2071" t="s">
        <v>21</v>
      </c>
      <c r="K2071">
        <v>0</v>
      </c>
      <c r="L2071" t="s">
        <v>35</v>
      </c>
      <c r="M2071">
        <v>823</v>
      </c>
    </row>
    <row r="2072" spans="1:13">
      <c r="A2072">
        <v>2066</v>
      </c>
      <c r="B2072">
        <v>98203</v>
      </c>
      <c r="C2072" t="s">
        <v>4660</v>
      </c>
      <c r="D2072" t="s">
        <v>209</v>
      </c>
      <c r="E2072" t="s">
        <v>4661</v>
      </c>
      <c r="F2072" t="str">
        <f>"00395874"</f>
        <v>00395874</v>
      </c>
      <c r="G2072" t="s">
        <v>696</v>
      </c>
      <c r="H2072" t="s">
        <v>20</v>
      </c>
      <c r="I2072">
        <v>1520</v>
      </c>
      <c r="J2072" t="s">
        <v>21</v>
      </c>
      <c r="K2072">
        <v>0</v>
      </c>
      <c r="L2072" t="s">
        <v>35</v>
      </c>
      <c r="M2072">
        <v>1021</v>
      </c>
    </row>
    <row r="2073" spans="1:13">
      <c r="A2073">
        <v>2067</v>
      </c>
      <c r="B2073">
        <v>85160</v>
      </c>
      <c r="C2073" t="s">
        <v>4662</v>
      </c>
      <c r="D2073" t="s">
        <v>90</v>
      </c>
      <c r="E2073" t="s">
        <v>4663</v>
      </c>
      <c r="F2073" t="str">
        <f>"00416794"</f>
        <v>00416794</v>
      </c>
      <c r="G2073" t="s">
        <v>1602</v>
      </c>
      <c r="H2073" t="s">
        <v>20</v>
      </c>
      <c r="I2073">
        <v>1427</v>
      </c>
      <c r="J2073" t="s">
        <v>21</v>
      </c>
      <c r="K2073">
        <v>7</v>
      </c>
      <c r="M2073">
        <v>1406</v>
      </c>
    </row>
    <row r="2074" spans="1:13">
      <c r="A2074">
        <v>2068</v>
      </c>
      <c r="B2074">
        <v>50866</v>
      </c>
      <c r="C2074" t="s">
        <v>4664</v>
      </c>
      <c r="D2074" t="s">
        <v>90</v>
      </c>
      <c r="E2074" t="s">
        <v>4665</v>
      </c>
      <c r="F2074" t="str">
        <f>"00221992"</f>
        <v>00221992</v>
      </c>
      <c r="G2074" t="s">
        <v>47</v>
      </c>
      <c r="H2074" t="s">
        <v>48</v>
      </c>
      <c r="I2074">
        <v>1623</v>
      </c>
      <c r="J2074" t="s">
        <v>21</v>
      </c>
      <c r="K2074">
        <v>0</v>
      </c>
      <c r="L2074" t="s">
        <v>35</v>
      </c>
      <c r="M2074">
        <v>858</v>
      </c>
    </row>
    <row r="2075" spans="1:13">
      <c r="A2075">
        <v>2069</v>
      </c>
      <c r="B2075">
        <v>85615</v>
      </c>
      <c r="C2075" t="s">
        <v>4666</v>
      </c>
      <c r="D2075" t="s">
        <v>660</v>
      </c>
      <c r="E2075" t="s">
        <v>4667</v>
      </c>
      <c r="F2075" t="str">
        <f>"00384135"</f>
        <v>00384135</v>
      </c>
      <c r="G2075" t="s">
        <v>488</v>
      </c>
      <c r="H2075" t="s">
        <v>20</v>
      </c>
      <c r="I2075">
        <v>1482</v>
      </c>
      <c r="J2075" t="s">
        <v>21</v>
      </c>
      <c r="K2075">
        <v>0</v>
      </c>
      <c r="L2075" t="s">
        <v>35</v>
      </c>
      <c r="M2075">
        <v>908</v>
      </c>
    </row>
    <row r="2076" spans="1:13">
      <c r="A2076">
        <v>2070</v>
      </c>
      <c r="B2076">
        <v>46854</v>
      </c>
      <c r="C2076" t="s">
        <v>4668</v>
      </c>
      <c r="D2076" t="s">
        <v>76</v>
      </c>
      <c r="E2076" t="s">
        <v>4669</v>
      </c>
      <c r="F2076" t="str">
        <f>"00326470"</f>
        <v>00326470</v>
      </c>
      <c r="G2076" t="s">
        <v>804</v>
      </c>
      <c r="H2076" t="s">
        <v>20</v>
      </c>
      <c r="I2076">
        <v>1483</v>
      </c>
      <c r="J2076" t="s">
        <v>21</v>
      </c>
      <c r="K2076">
        <v>0</v>
      </c>
      <c r="M2076">
        <v>1288</v>
      </c>
    </row>
    <row r="2077" spans="1:13">
      <c r="A2077">
        <v>2071</v>
      </c>
      <c r="B2077">
        <v>96879</v>
      </c>
      <c r="C2077" t="s">
        <v>4670</v>
      </c>
      <c r="D2077" t="s">
        <v>276</v>
      </c>
      <c r="E2077" t="s">
        <v>4671</v>
      </c>
      <c r="F2077" t="str">
        <f>"00343401"</f>
        <v>00343401</v>
      </c>
      <c r="G2077" t="s">
        <v>107</v>
      </c>
      <c r="H2077" t="s">
        <v>20</v>
      </c>
      <c r="I2077">
        <v>1472</v>
      </c>
      <c r="J2077" t="s">
        <v>21</v>
      </c>
      <c r="K2077">
        <v>0</v>
      </c>
      <c r="L2077" t="s">
        <v>35</v>
      </c>
      <c r="M2077">
        <v>975</v>
      </c>
    </row>
    <row r="2078" spans="1:13">
      <c r="A2078">
        <v>2072</v>
      </c>
      <c r="B2078">
        <v>97714</v>
      </c>
      <c r="C2078" t="s">
        <v>4672</v>
      </c>
      <c r="D2078" t="s">
        <v>76</v>
      </c>
      <c r="E2078" t="s">
        <v>4673</v>
      </c>
      <c r="F2078" t="str">
        <f>"00399098"</f>
        <v>00399098</v>
      </c>
      <c r="G2078" t="s">
        <v>709</v>
      </c>
      <c r="H2078" t="s">
        <v>20</v>
      </c>
      <c r="I2078">
        <v>1413</v>
      </c>
      <c r="J2078" t="s">
        <v>21</v>
      </c>
      <c r="K2078">
        <v>0</v>
      </c>
      <c r="L2078" t="s">
        <v>35</v>
      </c>
      <c r="M2078">
        <v>1079</v>
      </c>
    </row>
    <row r="2079" spans="1:13">
      <c r="A2079">
        <v>2073</v>
      </c>
      <c r="B2079">
        <v>53896</v>
      </c>
      <c r="C2079" t="s">
        <v>4674</v>
      </c>
      <c r="D2079" t="s">
        <v>85</v>
      </c>
      <c r="E2079" t="s">
        <v>4675</v>
      </c>
      <c r="F2079" t="str">
        <f>"00351845"</f>
        <v>00351845</v>
      </c>
      <c r="G2079" t="s">
        <v>258</v>
      </c>
      <c r="H2079" t="s">
        <v>20</v>
      </c>
      <c r="I2079">
        <v>1484</v>
      </c>
      <c r="J2079" t="s">
        <v>21</v>
      </c>
      <c r="K2079">
        <v>0</v>
      </c>
      <c r="L2079" t="s">
        <v>88</v>
      </c>
      <c r="M2079">
        <v>475</v>
      </c>
    </row>
    <row r="2080" spans="1:13">
      <c r="A2080">
        <v>2074</v>
      </c>
      <c r="B2080">
        <v>112889</v>
      </c>
      <c r="C2080" t="s">
        <v>4676</v>
      </c>
      <c r="D2080" t="s">
        <v>2330</v>
      </c>
      <c r="E2080" t="s">
        <v>4677</v>
      </c>
      <c r="F2080" t="str">
        <f>"00416735"</f>
        <v>00416735</v>
      </c>
      <c r="G2080" t="s">
        <v>2518</v>
      </c>
      <c r="H2080" t="s">
        <v>1610</v>
      </c>
      <c r="I2080">
        <v>1304</v>
      </c>
      <c r="J2080" t="s">
        <v>21</v>
      </c>
      <c r="K2080">
        <v>0</v>
      </c>
      <c r="M2080">
        <v>1688</v>
      </c>
    </row>
    <row r="2081" spans="1:13">
      <c r="A2081">
        <v>2075</v>
      </c>
      <c r="B2081">
        <v>103241</v>
      </c>
      <c r="C2081" t="s">
        <v>4678</v>
      </c>
      <c r="D2081" t="s">
        <v>2330</v>
      </c>
      <c r="E2081" t="s">
        <v>4679</v>
      </c>
      <c r="F2081" t="str">
        <f>"00381535"</f>
        <v>00381535</v>
      </c>
      <c r="G2081" t="s">
        <v>883</v>
      </c>
      <c r="H2081" t="s">
        <v>270</v>
      </c>
      <c r="I2081">
        <v>1585</v>
      </c>
      <c r="J2081" t="s">
        <v>21</v>
      </c>
      <c r="K2081">
        <v>0</v>
      </c>
      <c r="L2081" t="s">
        <v>35</v>
      </c>
      <c r="M2081">
        <v>1036</v>
      </c>
    </row>
    <row r="2082" spans="1:13">
      <c r="A2082">
        <v>2076</v>
      </c>
      <c r="B2082">
        <v>64411</v>
      </c>
      <c r="C2082" t="s">
        <v>4680</v>
      </c>
      <c r="D2082" t="s">
        <v>90</v>
      </c>
      <c r="E2082" t="s">
        <v>4681</v>
      </c>
      <c r="F2082" t="str">
        <f>"201401001042"</f>
        <v>201401001042</v>
      </c>
      <c r="G2082" t="s">
        <v>107</v>
      </c>
      <c r="H2082" t="s">
        <v>20</v>
      </c>
      <c r="I2082">
        <v>1472</v>
      </c>
      <c r="J2082" t="s">
        <v>21</v>
      </c>
      <c r="K2082">
        <v>0</v>
      </c>
      <c r="L2082" t="s">
        <v>35</v>
      </c>
      <c r="M2082">
        <v>908</v>
      </c>
    </row>
    <row r="2083" spans="1:13">
      <c r="A2083">
        <v>2077</v>
      </c>
      <c r="B2083">
        <v>104276</v>
      </c>
      <c r="C2083" t="s">
        <v>4682</v>
      </c>
      <c r="D2083" t="s">
        <v>105</v>
      </c>
      <c r="E2083" t="s">
        <v>4683</v>
      </c>
      <c r="F2083" t="str">
        <f>"00310379"</f>
        <v>00310379</v>
      </c>
      <c r="G2083" t="s">
        <v>125</v>
      </c>
      <c r="H2083" t="s">
        <v>20</v>
      </c>
      <c r="I2083">
        <v>1507</v>
      </c>
      <c r="J2083" t="s">
        <v>21</v>
      </c>
      <c r="K2083">
        <v>0</v>
      </c>
      <c r="M2083">
        <v>1388</v>
      </c>
    </row>
    <row r="2084" spans="1:13">
      <c r="A2084">
        <v>2078</v>
      </c>
      <c r="B2084">
        <v>89154</v>
      </c>
      <c r="C2084" t="s">
        <v>4684</v>
      </c>
      <c r="D2084" t="s">
        <v>180</v>
      </c>
      <c r="E2084" t="s">
        <v>4685</v>
      </c>
      <c r="F2084" t="str">
        <f>"00201851"</f>
        <v>00201851</v>
      </c>
      <c r="G2084" t="s">
        <v>883</v>
      </c>
      <c r="H2084" t="s">
        <v>270</v>
      </c>
      <c r="I2084">
        <v>1585</v>
      </c>
      <c r="J2084" t="s">
        <v>21</v>
      </c>
      <c r="K2084">
        <v>0</v>
      </c>
      <c r="L2084" t="s">
        <v>59</v>
      </c>
      <c r="M2084">
        <v>988</v>
      </c>
    </row>
    <row r="2085" spans="1:13">
      <c r="A2085">
        <v>2079</v>
      </c>
      <c r="B2085">
        <v>75704</v>
      </c>
      <c r="C2085" t="s">
        <v>4686</v>
      </c>
      <c r="D2085" t="s">
        <v>80</v>
      </c>
      <c r="E2085" t="s">
        <v>4687</v>
      </c>
      <c r="F2085" t="str">
        <f>"00382277"</f>
        <v>00382277</v>
      </c>
      <c r="G2085" t="s">
        <v>230</v>
      </c>
      <c r="H2085" t="s">
        <v>20</v>
      </c>
      <c r="I2085">
        <v>1545</v>
      </c>
      <c r="J2085" t="s">
        <v>21</v>
      </c>
      <c r="K2085">
        <v>0</v>
      </c>
      <c r="L2085" t="s">
        <v>35</v>
      </c>
      <c r="M2085">
        <v>972</v>
      </c>
    </row>
    <row r="2086" spans="1:13">
      <c r="A2086">
        <v>2080</v>
      </c>
      <c r="B2086">
        <v>66665</v>
      </c>
      <c r="C2086" t="s">
        <v>4688</v>
      </c>
      <c r="D2086" t="s">
        <v>153</v>
      </c>
      <c r="E2086" t="s">
        <v>4689</v>
      </c>
      <c r="F2086" t="str">
        <f>"00381221"</f>
        <v>00381221</v>
      </c>
      <c r="G2086" t="s">
        <v>215</v>
      </c>
      <c r="H2086" t="s">
        <v>216</v>
      </c>
      <c r="I2086">
        <v>1708</v>
      </c>
      <c r="J2086" t="s">
        <v>21</v>
      </c>
      <c r="K2086">
        <v>6</v>
      </c>
      <c r="L2086" t="s">
        <v>35</v>
      </c>
      <c r="M2086">
        <v>858</v>
      </c>
    </row>
    <row r="2087" spans="1:13">
      <c r="A2087">
        <v>2081</v>
      </c>
      <c r="B2087">
        <v>103744</v>
      </c>
      <c r="C2087" t="s">
        <v>4690</v>
      </c>
      <c r="D2087" t="s">
        <v>507</v>
      </c>
      <c r="E2087" t="s">
        <v>4691</v>
      </c>
      <c r="F2087" t="str">
        <f>"00045218"</f>
        <v>00045218</v>
      </c>
      <c r="G2087" t="s">
        <v>856</v>
      </c>
      <c r="H2087" t="s">
        <v>366</v>
      </c>
      <c r="I2087">
        <v>1706</v>
      </c>
      <c r="J2087" t="s">
        <v>21</v>
      </c>
      <c r="K2087">
        <v>0</v>
      </c>
      <c r="M2087">
        <v>1428</v>
      </c>
    </row>
    <row r="2088" spans="1:13">
      <c r="A2088">
        <v>2082</v>
      </c>
      <c r="B2088">
        <v>75774</v>
      </c>
      <c r="C2088" t="s">
        <v>4692</v>
      </c>
      <c r="D2088" t="s">
        <v>316</v>
      </c>
      <c r="E2088" t="s">
        <v>4693</v>
      </c>
      <c r="F2088" t="str">
        <f>"00391186"</f>
        <v>00391186</v>
      </c>
      <c r="G2088" t="s">
        <v>147</v>
      </c>
      <c r="H2088" t="s">
        <v>20</v>
      </c>
      <c r="I2088">
        <v>1529</v>
      </c>
      <c r="J2088" t="s">
        <v>21</v>
      </c>
      <c r="K2088">
        <v>0</v>
      </c>
      <c r="L2088" t="s">
        <v>59</v>
      </c>
      <c r="M2088">
        <v>1290</v>
      </c>
    </row>
    <row r="2089" spans="1:13">
      <c r="A2089">
        <v>2083</v>
      </c>
      <c r="B2089">
        <v>72000</v>
      </c>
      <c r="C2089" t="s">
        <v>4694</v>
      </c>
      <c r="D2089" t="s">
        <v>205</v>
      </c>
      <c r="E2089" t="s">
        <v>4695</v>
      </c>
      <c r="F2089" t="str">
        <f>"00025236"</f>
        <v>00025236</v>
      </c>
      <c r="G2089" t="s">
        <v>125</v>
      </c>
      <c r="H2089" t="s">
        <v>20</v>
      </c>
      <c r="I2089">
        <v>1507</v>
      </c>
      <c r="J2089" t="s">
        <v>21</v>
      </c>
      <c r="K2089">
        <v>0</v>
      </c>
      <c r="L2089" t="s">
        <v>112</v>
      </c>
      <c r="M2089">
        <v>923</v>
      </c>
    </row>
    <row r="2090" spans="1:13">
      <c r="A2090">
        <v>2084</v>
      </c>
      <c r="B2090">
        <v>55767</v>
      </c>
      <c r="C2090" t="s">
        <v>4696</v>
      </c>
      <c r="D2090" t="s">
        <v>130</v>
      </c>
      <c r="E2090" t="s">
        <v>4697</v>
      </c>
      <c r="F2090" t="str">
        <f>"00299989"</f>
        <v>00299989</v>
      </c>
      <c r="G2090" t="s">
        <v>38</v>
      </c>
      <c r="H2090" t="s">
        <v>39</v>
      </c>
      <c r="I2090">
        <v>1634</v>
      </c>
      <c r="J2090" t="s">
        <v>21</v>
      </c>
      <c r="K2090">
        <v>6</v>
      </c>
      <c r="L2090" t="s">
        <v>35</v>
      </c>
      <c r="M2090">
        <v>783</v>
      </c>
    </row>
    <row r="2091" spans="1:13">
      <c r="A2091">
        <v>2085</v>
      </c>
      <c r="B2091">
        <v>81083</v>
      </c>
      <c r="C2091" t="s">
        <v>4698</v>
      </c>
      <c r="D2091" t="s">
        <v>726</v>
      </c>
      <c r="E2091" t="s">
        <v>4699</v>
      </c>
      <c r="F2091" t="str">
        <f>"00395330"</f>
        <v>00395330</v>
      </c>
      <c r="G2091" t="s">
        <v>24</v>
      </c>
      <c r="H2091" t="s">
        <v>20</v>
      </c>
      <c r="I2091">
        <v>1577</v>
      </c>
      <c r="J2091" t="s">
        <v>21</v>
      </c>
      <c r="K2091">
        <v>0</v>
      </c>
      <c r="L2091" t="s">
        <v>25</v>
      </c>
      <c r="M2091">
        <v>1228</v>
      </c>
    </row>
    <row r="2092" spans="1:13">
      <c r="A2092">
        <v>2086</v>
      </c>
      <c r="B2092">
        <v>75381</v>
      </c>
      <c r="C2092" t="s">
        <v>4700</v>
      </c>
      <c r="D2092" t="s">
        <v>90</v>
      </c>
      <c r="E2092" t="s">
        <v>4701</v>
      </c>
      <c r="F2092" t="str">
        <f>"00250365"</f>
        <v>00250365</v>
      </c>
      <c r="G2092" t="s">
        <v>955</v>
      </c>
      <c r="H2092" t="s">
        <v>48</v>
      </c>
      <c r="I2092">
        <v>1630</v>
      </c>
      <c r="J2092" t="s">
        <v>21</v>
      </c>
      <c r="K2092">
        <v>0</v>
      </c>
      <c r="L2092" t="s">
        <v>35</v>
      </c>
      <c r="M2092">
        <v>1236</v>
      </c>
    </row>
    <row r="2093" spans="1:13">
      <c r="A2093">
        <v>2087</v>
      </c>
      <c r="B2093">
        <v>79614</v>
      </c>
      <c r="C2093" t="s">
        <v>4702</v>
      </c>
      <c r="D2093" t="s">
        <v>76</v>
      </c>
      <c r="E2093" t="s">
        <v>4703</v>
      </c>
      <c r="F2093" t="str">
        <f>"201511022379"</f>
        <v>201511022379</v>
      </c>
      <c r="G2093" t="s">
        <v>1764</v>
      </c>
      <c r="H2093" t="s">
        <v>20</v>
      </c>
      <c r="I2093">
        <v>1532</v>
      </c>
      <c r="J2093" t="s">
        <v>21</v>
      </c>
      <c r="K2093">
        <v>0</v>
      </c>
      <c r="L2093" t="s">
        <v>112</v>
      </c>
      <c r="M2093">
        <v>808</v>
      </c>
    </row>
    <row r="2094" spans="1:13">
      <c r="A2094">
        <v>2088</v>
      </c>
      <c r="B2094">
        <v>51915</v>
      </c>
      <c r="C2094" t="s">
        <v>4704</v>
      </c>
      <c r="D2094" t="s">
        <v>76</v>
      </c>
      <c r="E2094" t="s">
        <v>4705</v>
      </c>
      <c r="F2094" t="str">
        <f>"00366242"</f>
        <v>00366242</v>
      </c>
      <c r="G2094" t="s">
        <v>92</v>
      </c>
      <c r="H2094" t="s">
        <v>20</v>
      </c>
      <c r="I2094">
        <v>1425</v>
      </c>
      <c r="J2094" t="s">
        <v>21</v>
      </c>
      <c r="K2094">
        <v>0</v>
      </c>
      <c r="L2094" t="s">
        <v>35</v>
      </c>
      <c r="M2094">
        <v>1208</v>
      </c>
    </row>
    <row r="2095" spans="1:13">
      <c r="A2095">
        <v>2089</v>
      </c>
      <c r="B2095">
        <v>88536</v>
      </c>
      <c r="C2095" t="s">
        <v>4706</v>
      </c>
      <c r="D2095" t="s">
        <v>700</v>
      </c>
      <c r="E2095" t="s">
        <v>4707</v>
      </c>
      <c r="F2095" t="str">
        <f>"00389119"</f>
        <v>00389119</v>
      </c>
      <c r="G2095" t="s">
        <v>1107</v>
      </c>
      <c r="H2095" t="s">
        <v>48</v>
      </c>
      <c r="I2095">
        <v>1626</v>
      </c>
      <c r="J2095" t="s">
        <v>21</v>
      </c>
      <c r="K2095">
        <v>0</v>
      </c>
      <c r="L2095" t="s">
        <v>35</v>
      </c>
      <c r="M2095">
        <v>908</v>
      </c>
    </row>
    <row r="2096" spans="1:13">
      <c r="A2096">
        <v>2090</v>
      </c>
      <c r="B2096">
        <v>93666</v>
      </c>
      <c r="C2096" t="s">
        <v>4708</v>
      </c>
      <c r="D2096" t="s">
        <v>90</v>
      </c>
      <c r="E2096" t="s">
        <v>4709</v>
      </c>
      <c r="F2096" t="str">
        <f>"00397812"</f>
        <v>00397812</v>
      </c>
      <c r="G2096" t="s">
        <v>111</v>
      </c>
      <c r="H2096" t="s">
        <v>48</v>
      </c>
      <c r="I2096">
        <v>1620</v>
      </c>
      <c r="J2096" t="s">
        <v>21</v>
      </c>
      <c r="K2096">
        <v>0</v>
      </c>
      <c r="L2096" t="s">
        <v>35</v>
      </c>
      <c r="M2096">
        <v>975</v>
      </c>
    </row>
    <row r="2097" spans="1:13">
      <c r="A2097">
        <v>2091</v>
      </c>
      <c r="B2097">
        <v>75837</v>
      </c>
      <c r="C2097" t="s">
        <v>4710</v>
      </c>
      <c r="D2097" t="s">
        <v>198</v>
      </c>
      <c r="E2097" t="s">
        <v>4711</v>
      </c>
      <c r="F2097" t="str">
        <f>"00381835"</f>
        <v>00381835</v>
      </c>
      <c r="G2097" t="s">
        <v>150</v>
      </c>
      <c r="H2097" t="s">
        <v>151</v>
      </c>
      <c r="I2097">
        <v>1699</v>
      </c>
      <c r="J2097" t="s">
        <v>21</v>
      </c>
      <c r="K2097">
        <v>0</v>
      </c>
      <c r="L2097" t="s">
        <v>35</v>
      </c>
      <c r="M2097">
        <v>1040</v>
      </c>
    </row>
    <row r="2098" spans="1:13">
      <c r="A2098">
        <v>2092</v>
      </c>
      <c r="B2098">
        <v>55383</v>
      </c>
      <c r="C2098" t="s">
        <v>4712</v>
      </c>
      <c r="D2098" t="s">
        <v>243</v>
      </c>
      <c r="E2098" t="s">
        <v>4713</v>
      </c>
      <c r="F2098" t="str">
        <f>"201006000083"</f>
        <v>201006000083</v>
      </c>
      <c r="G2098" t="s">
        <v>82</v>
      </c>
      <c r="H2098" t="s">
        <v>20</v>
      </c>
      <c r="I2098">
        <v>1475</v>
      </c>
      <c r="J2098" t="s">
        <v>21</v>
      </c>
      <c r="K2098">
        <v>0</v>
      </c>
      <c r="M2098">
        <v>1518</v>
      </c>
    </row>
    <row r="2099" spans="1:13">
      <c r="A2099">
        <v>2093</v>
      </c>
      <c r="B2099">
        <v>110997</v>
      </c>
      <c r="C2099" t="s">
        <v>4714</v>
      </c>
      <c r="D2099" t="s">
        <v>2350</v>
      </c>
      <c r="E2099" t="s">
        <v>4715</v>
      </c>
      <c r="F2099" t="str">
        <f>"00050514"</f>
        <v>00050514</v>
      </c>
      <c r="G2099" t="s">
        <v>380</v>
      </c>
      <c r="H2099" t="s">
        <v>137</v>
      </c>
      <c r="I2099">
        <v>1615</v>
      </c>
      <c r="J2099" t="s">
        <v>21</v>
      </c>
      <c r="K2099">
        <v>0</v>
      </c>
      <c r="L2099" t="s">
        <v>59</v>
      </c>
      <c r="M2099">
        <v>1106</v>
      </c>
    </row>
    <row r="2100" spans="1:13">
      <c r="A2100">
        <v>2094</v>
      </c>
      <c r="B2100">
        <v>113968</v>
      </c>
      <c r="C2100" t="s">
        <v>4716</v>
      </c>
      <c r="D2100" t="s">
        <v>1385</v>
      </c>
      <c r="E2100" t="s">
        <v>4717</v>
      </c>
      <c r="F2100" t="str">
        <f>"00299432"</f>
        <v>00299432</v>
      </c>
      <c r="G2100" t="s">
        <v>19</v>
      </c>
      <c r="H2100" t="s">
        <v>20</v>
      </c>
      <c r="I2100">
        <v>1531</v>
      </c>
      <c r="J2100" t="s">
        <v>21</v>
      </c>
      <c r="K2100">
        <v>0</v>
      </c>
      <c r="M2100">
        <v>1818</v>
      </c>
    </row>
    <row r="2101" spans="1:13">
      <c r="A2101">
        <v>2095</v>
      </c>
      <c r="B2101">
        <v>76968</v>
      </c>
      <c r="C2101" t="s">
        <v>4718</v>
      </c>
      <c r="D2101" t="s">
        <v>243</v>
      </c>
      <c r="E2101" t="s">
        <v>4719</v>
      </c>
      <c r="F2101" t="str">
        <f>"00383095"</f>
        <v>00383095</v>
      </c>
      <c r="G2101" t="s">
        <v>883</v>
      </c>
      <c r="H2101" t="s">
        <v>270</v>
      </c>
      <c r="I2101">
        <v>1585</v>
      </c>
      <c r="J2101" t="s">
        <v>21</v>
      </c>
      <c r="K2101">
        <v>0</v>
      </c>
      <c r="M2101">
        <v>1478</v>
      </c>
    </row>
    <row r="2102" spans="1:13">
      <c r="A2102">
        <v>2096</v>
      </c>
      <c r="B2102">
        <v>85757</v>
      </c>
      <c r="C2102" t="s">
        <v>4720</v>
      </c>
      <c r="D2102" t="s">
        <v>80</v>
      </c>
      <c r="E2102" t="s">
        <v>4721</v>
      </c>
      <c r="F2102" t="str">
        <f>"00371143"</f>
        <v>00371143</v>
      </c>
      <c r="G2102" t="s">
        <v>125</v>
      </c>
      <c r="H2102" t="s">
        <v>20</v>
      </c>
      <c r="I2102">
        <v>1507</v>
      </c>
      <c r="J2102" t="s">
        <v>21</v>
      </c>
      <c r="K2102">
        <v>0</v>
      </c>
      <c r="M2102">
        <v>1428</v>
      </c>
    </row>
    <row r="2103" spans="1:13">
      <c r="A2103">
        <v>2097</v>
      </c>
      <c r="B2103">
        <v>68246</v>
      </c>
      <c r="C2103" t="s">
        <v>4722</v>
      </c>
      <c r="D2103" t="s">
        <v>2454</v>
      </c>
      <c r="E2103" t="s">
        <v>4723</v>
      </c>
      <c r="F2103" t="str">
        <f>"00377978"</f>
        <v>00377978</v>
      </c>
      <c r="G2103" t="s">
        <v>107</v>
      </c>
      <c r="H2103" t="s">
        <v>20</v>
      </c>
      <c r="I2103">
        <v>1472</v>
      </c>
      <c r="J2103" t="s">
        <v>21</v>
      </c>
      <c r="K2103">
        <v>0</v>
      </c>
      <c r="L2103" t="s">
        <v>35</v>
      </c>
      <c r="M2103">
        <v>1108</v>
      </c>
    </row>
    <row r="2104" spans="1:13">
      <c r="A2104">
        <v>2098</v>
      </c>
      <c r="B2104">
        <v>97222</v>
      </c>
      <c r="C2104" t="s">
        <v>4724</v>
      </c>
      <c r="D2104" t="s">
        <v>1001</v>
      </c>
      <c r="E2104" t="s">
        <v>4725</v>
      </c>
      <c r="F2104" t="str">
        <f>"00369115"</f>
        <v>00369115</v>
      </c>
      <c r="G2104" t="s">
        <v>600</v>
      </c>
      <c r="H2104" t="s">
        <v>366</v>
      </c>
      <c r="I2104">
        <v>1694</v>
      </c>
      <c r="J2104" t="s">
        <v>21</v>
      </c>
      <c r="K2104">
        <v>0</v>
      </c>
      <c r="M2104">
        <v>1438</v>
      </c>
    </row>
    <row r="2105" spans="1:13">
      <c r="A2105">
        <v>2099</v>
      </c>
      <c r="B2105">
        <v>91830</v>
      </c>
      <c r="C2105" t="s">
        <v>4726</v>
      </c>
      <c r="D2105" t="s">
        <v>238</v>
      </c>
      <c r="E2105" t="s">
        <v>4727</v>
      </c>
      <c r="F2105" t="str">
        <f>"00254284"</f>
        <v>00254284</v>
      </c>
      <c r="G2105" t="s">
        <v>150</v>
      </c>
      <c r="H2105" t="s">
        <v>151</v>
      </c>
      <c r="I2105">
        <v>1699</v>
      </c>
      <c r="J2105" t="s">
        <v>21</v>
      </c>
      <c r="K2105">
        <v>0</v>
      </c>
      <c r="L2105" t="s">
        <v>35</v>
      </c>
      <c r="M2105">
        <v>858</v>
      </c>
    </row>
    <row r="2106" spans="1:13">
      <c r="A2106">
        <v>2100</v>
      </c>
      <c r="B2106">
        <v>111080</v>
      </c>
      <c r="C2106" t="s">
        <v>4728</v>
      </c>
      <c r="D2106" t="s">
        <v>94</v>
      </c>
      <c r="E2106" t="s">
        <v>4729</v>
      </c>
      <c r="F2106" t="str">
        <f>"00344145"</f>
        <v>00344145</v>
      </c>
      <c r="G2106" t="s">
        <v>87</v>
      </c>
      <c r="H2106" t="s">
        <v>20</v>
      </c>
      <c r="I2106">
        <v>1436</v>
      </c>
      <c r="J2106" t="s">
        <v>21</v>
      </c>
      <c r="K2106">
        <v>0</v>
      </c>
      <c r="L2106" t="s">
        <v>35</v>
      </c>
      <c r="M2106">
        <v>872</v>
      </c>
    </row>
    <row r="2107" spans="1:13">
      <c r="A2107">
        <v>2101</v>
      </c>
      <c r="B2107">
        <v>101171</v>
      </c>
      <c r="C2107" t="s">
        <v>4730</v>
      </c>
      <c r="D2107" t="s">
        <v>373</v>
      </c>
      <c r="E2107" t="s">
        <v>4731</v>
      </c>
      <c r="F2107" t="str">
        <f>"00203741"</f>
        <v>00203741</v>
      </c>
      <c r="G2107" t="s">
        <v>96</v>
      </c>
      <c r="H2107" t="s">
        <v>20</v>
      </c>
      <c r="I2107">
        <v>1474</v>
      </c>
      <c r="J2107" t="s">
        <v>21</v>
      </c>
      <c r="K2107">
        <v>0</v>
      </c>
      <c r="M2107">
        <v>1738</v>
      </c>
    </row>
    <row r="2108" spans="1:13">
      <c r="A2108">
        <v>2102</v>
      </c>
      <c r="B2108">
        <v>55368</v>
      </c>
      <c r="C2108" t="s">
        <v>4732</v>
      </c>
      <c r="D2108" t="s">
        <v>130</v>
      </c>
      <c r="E2108" t="s">
        <v>4733</v>
      </c>
      <c r="F2108" t="str">
        <f>"00358040"</f>
        <v>00358040</v>
      </c>
      <c r="G2108" t="s">
        <v>47</v>
      </c>
      <c r="H2108" t="s">
        <v>48</v>
      </c>
      <c r="I2108">
        <v>1623</v>
      </c>
      <c r="J2108" t="s">
        <v>21</v>
      </c>
      <c r="K2108">
        <v>0</v>
      </c>
      <c r="L2108" t="s">
        <v>35</v>
      </c>
      <c r="M2108">
        <v>870</v>
      </c>
    </row>
    <row r="2109" spans="1:13">
      <c r="A2109">
        <v>2103</v>
      </c>
      <c r="B2109">
        <v>77890</v>
      </c>
      <c r="C2109" t="s">
        <v>4734</v>
      </c>
      <c r="D2109" t="s">
        <v>121</v>
      </c>
      <c r="E2109" t="s">
        <v>4735</v>
      </c>
      <c r="F2109" t="str">
        <f>"00190785"</f>
        <v>00190785</v>
      </c>
      <c r="G2109" t="s">
        <v>883</v>
      </c>
      <c r="H2109" t="s">
        <v>270</v>
      </c>
      <c r="I2109">
        <v>1585</v>
      </c>
      <c r="J2109" t="s">
        <v>21</v>
      </c>
      <c r="K2109">
        <v>0</v>
      </c>
      <c r="M2109">
        <v>1468</v>
      </c>
    </row>
    <row r="2110" spans="1:13">
      <c r="A2110">
        <v>2104</v>
      </c>
      <c r="B2110">
        <v>73656</v>
      </c>
      <c r="C2110" t="s">
        <v>4736</v>
      </c>
      <c r="D2110" t="s">
        <v>1001</v>
      </c>
      <c r="E2110" t="s">
        <v>4737</v>
      </c>
      <c r="F2110" t="str">
        <f>"00391910"</f>
        <v>00391910</v>
      </c>
      <c r="G2110" t="s">
        <v>125</v>
      </c>
      <c r="H2110" t="s">
        <v>20</v>
      </c>
      <c r="I2110">
        <v>1507</v>
      </c>
      <c r="J2110" t="s">
        <v>21</v>
      </c>
      <c r="K2110">
        <v>0</v>
      </c>
      <c r="L2110" t="s">
        <v>35</v>
      </c>
      <c r="M2110">
        <v>1308</v>
      </c>
    </row>
    <row r="2111" spans="1:13">
      <c r="A2111">
        <v>2105</v>
      </c>
      <c r="B2111">
        <v>64630</v>
      </c>
      <c r="C2111" t="s">
        <v>4738</v>
      </c>
      <c r="D2111" t="s">
        <v>1249</v>
      </c>
      <c r="E2111" t="s">
        <v>4739</v>
      </c>
      <c r="F2111" t="str">
        <f>"00358720"</f>
        <v>00358720</v>
      </c>
      <c r="G2111" t="s">
        <v>2768</v>
      </c>
      <c r="H2111" t="s">
        <v>20</v>
      </c>
      <c r="I2111">
        <v>1409</v>
      </c>
      <c r="J2111" t="s">
        <v>21</v>
      </c>
      <c r="K2111">
        <v>0</v>
      </c>
      <c r="L2111" t="s">
        <v>35</v>
      </c>
      <c r="M2111">
        <v>922</v>
      </c>
    </row>
    <row r="2112" spans="1:13">
      <c r="A2112">
        <v>2106</v>
      </c>
      <c r="B2112">
        <v>50136</v>
      </c>
      <c r="C2112" t="s">
        <v>4740</v>
      </c>
      <c r="D2112" t="s">
        <v>4741</v>
      </c>
      <c r="E2112" t="s">
        <v>4742</v>
      </c>
      <c r="F2112" t="str">
        <f>"00254396"</f>
        <v>00254396</v>
      </c>
      <c r="G2112" t="s">
        <v>371</v>
      </c>
      <c r="H2112" t="s">
        <v>20</v>
      </c>
      <c r="I2112">
        <v>1526</v>
      </c>
      <c r="J2112" t="s">
        <v>21</v>
      </c>
      <c r="K2112">
        <v>6</v>
      </c>
      <c r="L2112" t="s">
        <v>35</v>
      </c>
      <c r="M2112">
        <v>600</v>
      </c>
    </row>
    <row r="2113" spans="1:13">
      <c r="A2113">
        <v>2107</v>
      </c>
      <c r="B2113">
        <v>114783</v>
      </c>
      <c r="C2113" t="s">
        <v>4743</v>
      </c>
      <c r="D2113" t="s">
        <v>117</v>
      </c>
      <c r="E2113" t="s">
        <v>4744</v>
      </c>
      <c r="F2113" t="str">
        <f>"00246973"</f>
        <v>00246973</v>
      </c>
      <c r="G2113" t="s">
        <v>2031</v>
      </c>
      <c r="H2113" t="s">
        <v>1671</v>
      </c>
      <c r="I2113">
        <v>1719</v>
      </c>
      <c r="J2113" t="s">
        <v>21</v>
      </c>
      <c r="K2113">
        <v>0</v>
      </c>
      <c r="M2113">
        <v>1425</v>
      </c>
    </row>
    <row r="2114" spans="1:13">
      <c r="A2114">
        <v>2108</v>
      </c>
      <c r="B2114">
        <v>97074</v>
      </c>
      <c r="C2114" t="s">
        <v>4745</v>
      </c>
      <c r="D2114" t="s">
        <v>94</v>
      </c>
      <c r="E2114" t="s">
        <v>4746</v>
      </c>
      <c r="F2114" t="str">
        <f>"00372218"</f>
        <v>00372218</v>
      </c>
      <c r="G2114" t="s">
        <v>1595</v>
      </c>
      <c r="H2114" t="s">
        <v>20</v>
      </c>
      <c r="I2114">
        <v>1538</v>
      </c>
      <c r="J2114" t="s">
        <v>21</v>
      </c>
      <c r="K2114">
        <v>6</v>
      </c>
      <c r="L2114" t="s">
        <v>35</v>
      </c>
      <c r="M2114">
        <v>840</v>
      </c>
    </row>
    <row r="2115" spans="1:13">
      <c r="A2115">
        <v>2109</v>
      </c>
      <c r="B2115">
        <v>48722</v>
      </c>
      <c r="C2115" t="s">
        <v>4747</v>
      </c>
      <c r="D2115" t="s">
        <v>180</v>
      </c>
      <c r="E2115" t="s">
        <v>4748</v>
      </c>
      <c r="F2115" t="str">
        <f>"201303000347"</f>
        <v>201303000347</v>
      </c>
      <c r="G2115" t="s">
        <v>307</v>
      </c>
      <c r="H2115" t="s">
        <v>308</v>
      </c>
      <c r="I2115">
        <v>1589</v>
      </c>
      <c r="J2115" t="s">
        <v>21</v>
      </c>
      <c r="K2115">
        <v>0</v>
      </c>
      <c r="L2115" t="s">
        <v>88</v>
      </c>
      <c r="M2115">
        <v>400</v>
      </c>
    </row>
    <row r="2116" spans="1:13">
      <c r="A2116">
        <v>2110</v>
      </c>
      <c r="B2116">
        <v>55807</v>
      </c>
      <c r="C2116" t="s">
        <v>4749</v>
      </c>
      <c r="D2116" t="s">
        <v>163</v>
      </c>
      <c r="E2116" t="s">
        <v>4750</v>
      </c>
      <c r="F2116" t="str">
        <f>"00296970"</f>
        <v>00296970</v>
      </c>
      <c r="G2116" t="s">
        <v>307</v>
      </c>
      <c r="H2116" t="s">
        <v>308</v>
      </c>
      <c r="I2116">
        <v>1589</v>
      </c>
      <c r="J2116" t="s">
        <v>21</v>
      </c>
      <c r="K2116">
        <v>0</v>
      </c>
      <c r="M2116">
        <v>1668</v>
      </c>
    </row>
    <row r="2117" spans="1:13">
      <c r="A2117">
        <v>2111</v>
      </c>
      <c r="B2117">
        <v>96753</v>
      </c>
      <c r="C2117" t="s">
        <v>4751</v>
      </c>
      <c r="D2117" t="s">
        <v>105</v>
      </c>
      <c r="E2117" t="s">
        <v>4752</v>
      </c>
      <c r="F2117" t="str">
        <f>"00075167"</f>
        <v>00075167</v>
      </c>
      <c r="G2117" t="s">
        <v>19</v>
      </c>
      <c r="H2117" t="s">
        <v>20</v>
      </c>
      <c r="I2117">
        <v>1531</v>
      </c>
      <c r="J2117" t="s">
        <v>21</v>
      </c>
      <c r="K2117">
        <v>0</v>
      </c>
      <c r="L2117" t="s">
        <v>112</v>
      </c>
      <c r="M2117">
        <v>800</v>
      </c>
    </row>
    <row r="2118" spans="1:13">
      <c r="A2118">
        <v>2112</v>
      </c>
      <c r="B2118">
        <v>107639</v>
      </c>
      <c r="C2118" t="s">
        <v>4753</v>
      </c>
      <c r="D2118" t="s">
        <v>105</v>
      </c>
      <c r="E2118" t="s">
        <v>4754</v>
      </c>
      <c r="F2118" t="str">
        <f>"00417325"</f>
        <v>00417325</v>
      </c>
      <c r="G2118" t="s">
        <v>42</v>
      </c>
      <c r="H2118" t="s">
        <v>43</v>
      </c>
      <c r="I2118">
        <v>1712</v>
      </c>
      <c r="J2118" t="s">
        <v>21</v>
      </c>
      <c r="K2118">
        <v>0</v>
      </c>
      <c r="L2118" t="s">
        <v>35</v>
      </c>
      <c r="M2118">
        <v>1334</v>
      </c>
    </row>
    <row r="2119" spans="1:13">
      <c r="A2119">
        <v>2113</v>
      </c>
      <c r="B2119">
        <v>108227</v>
      </c>
      <c r="C2119" t="s">
        <v>4755</v>
      </c>
      <c r="D2119" t="s">
        <v>163</v>
      </c>
      <c r="E2119" t="s">
        <v>4756</v>
      </c>
      <c r="F2119" t="str">
        <f>"00280312"</f>
        <v>00280312</v>
      </c>
      <c r="G2119" t="s">
        <v>4757</v>
      </c>
      <c r="H2119" t="s">
        <v>20</v>
      </c>
      <c r="I2119">
        <v>1462</v>
      </c>
      <c r="J2119" t="s">
        <v>21</v>
      </c>
      <c r="K2119">
        <v>0</v>
      </c>
      <c r="M2119">
        <v>1828</v>
      </c>
    </row>
    <row r="2120" spans="1:13">
      <c r="A2120">
        <v>2114</v>
      </c>
      <c r="B2120">
        <v>55724</v>
      </c>
      <c r="C2120" t="s">
        <v>4758</v>
      </c>
      <c r="D2120" t="s">
        <v>914</v>
      </c>
      <c r="E2120" t="s">
        <v>4759</v>
      </c>
      <c r="F2120" t="str">
        <f>"00350515"</f>
        <v>00350515</v>
      </c>
      <c r="G2120" t="s">
        <v>150</v>
      </c>
      <c r="H2120" t="s">
        <v>151</v>
      </c>
      <c r="I2120">
        <v>1699</v>
      </c>
      <c r="J2120" t="s">
        <v>21</v>
      </c>
      <c r="K2120">
        <v>0</v>
      </c>
      <c r="M2120">
        <v>1403</v>
      </c>
    </row>
    <row r="2121" spans="1:13">
      <c r="A2121">
        <v>2115</v>
      </c>
      <c r="B2121">
        <v>92455</v>
      </c>
      <c r="C2121" t="s">
        <v>4760</v>
      </c>
      <c r="D2121" t="s">
        <v>80</v>
      </c>
      <c r="E2121" t="s">
        <v>4761</v>
      </c>
      <c r="F2121" t="str">
        <f>"00381618"</f>
        <v>00381618</v>
      </c>
      <c r="G2121" t="s">
        <v>107</v>
      </c>
      <c r="H2121" t="s">
        <v>20</v>
      </c>
      <c r="I2121">
        <v>1472</v>
      </c>
      <c r="J2121" t="s">
        <v>21</v>
      </c>
      <c r="K2121">
        <v>0</v>
      </c>
      <c r="L2121" t="s">
        <v>59</v>
      </c>
      <c r="M2121">
        <v>1128</v>
      </c>
    </row>
    <row r="2122" spans="1:13">
      <c r="A2122">
        <v>2116</v>
      </c>
      <c r="B2122">
        <v>94357</v>
      </c>
      <c r="C2122" t="s">
        <v>4762</v>
      </c>
      <c r="D2122" t="s">
        <v>218</v>
      </c>
      <c r="E2122" t="s">
        <v>4763</v>
      </c>
      <c r="F2122" t="str">
        <f>"00403670"</f>
        <v>00403670</v>
      </c>
      <c r="G2122" t="s">
        <v>107</v>
      </c>
      <c r="H2122" t="s">
        <v>20</v>
      </c>
      <c r="I2122">
        <v>1472</v>
      </c>
      <c r="J2122" t="s">
        <v>21</v>
      </c>
      <c r="K2122">
        <v>0</v>
      </c>
      <c r="M2122">
        <v>1478</v>
      </c>
    </row>
    <row r="2123" spans="1:13">
      <c r="A2123">
        <v>2117</v>
      </c>
      <c r="B2123">
        <v>85988</v>
      </c>
      <c r="C2123" t="s">
        <v>4764</v>
      </c>
      <c r="D2123" t="s">
        <v>130</v>
      </c>
      <c r="E2123" t="s">
        <v>4765</v>
      </c>
      <c r="F2123" t="str">
        <f>"00406729"</f>
        <v>00406729</v>
      </c>
      <c r="G2123" t="s">
        <v>38</v>
      </c>
      <c r="H2123" t="s">
        <v>39</v>
      </c>
      <c r="I2123">
        <v>1634</v>
      </c>
      <c r="J2123" t="s">
        <v>21</v>
      </c>
      <c r="K2123">
        <v>6</v>
      </c>
      <c r="L2123" t="s">
        <v>112</v>
      </c>
      <c r="M2123">
        <v>408</v>
      </c>
    </row>
    <row r="2124" spans="1:13">
      <c r="A2124">
        <v>2118</v>
      </c>
      <c r="B2124">
        <v>77087</v>
      </c>
      <c r="C2124" t="s">
        <v>4766</v>
      </c>
      <c r="D2124" t="s">
        <v>145</v>
      </c>
      <c r="E2124" t="s">
        <v>4767</v>
      </c>
      <c r="F2124" t="str">
        <f>"200802004020"</f>
        <v>200802004020</v>
      </c>
      <c r="G2124" t="s">
        <v>111</v>
      </c>
      <c r="H2124" t="s">
        <v>48</v>
      </c>
      <c r="I2124">
        <v>1620</v>
      </c>
      <c r="J2124" t="s">
        <v>21</v>
      </c>
      <c r="K2124">
        <v>0</v>
      </c>
      <c r="L2124" t="s">
        <v>59</v>
      </c>
      <c r="M2124">
        <v>928</v>
      </c>
    </row>
    <row r="2125" spans="1:13">
      <c r="A2125">
        <v>2119</v>
      </c>
      <c r="B2125">
        <v>96094</v>
      </c>
      <c r="C2125" t="s">
        <v>4768</v>
      </c>
      <c r="D2125" t="s">
        <v>249</v>
      </c>
      <c r="E2125" t="s">
        <v>4769</v>
      </c>
      <c r="F2125" t="str">
        <f>"00399243"</f>
        <v>00399243</v>
      </c>
      <c r="G2125" t="s">
        <v>24</v>
      </c>
      <c r="H2125" t="s">
        <v>20</v>
      </c>
      <c r="I2125">
        <v>1577</v>
      </c>
      <c r="J2125" t="s">
        <v>21</v>
      </c>
      <c r="K2125">
        <v>0</v>
      </c>
      <c r="M2125">
        <v>1328</v>
      </c>
    </row>
    <row r="2126" spans="1:13">
      <c r="A2126">
        <v>2120</v>
      </c>
      <c r="B2126">
        <v>85247</v>
      </c>
      <c r="C2126" t="s">
        <v>4770</v>
      </c>
      <c r="D2126" t="s">
        <v>65</v>
      </c>
      <c r="E2126" t="s">
        <v>4771</v>
      </c>
      <c r="F2126" t="str">
        <f>"201506001610"</f>
        <v>201506001610</v>
      </c>
      <c r="G2126" t="s">
        <v>540</v>
      </c>
      <c r="H2126" t="s">
        <v>20</v>
      </c>
      <c r="I2126">
        <v>1435</v>
      </c>
      <c r="J2126" t="s">
        <v>21</v>
      </c>
      <c r="K2126">
        <v>0</v>
      </c>
      <c r="L2126" t="s">
        <v>83</v>
      </c>
      <c r="M2126">
        <v>1218</v>
      </c>
    </row>
    <row r="2127" spans="1:13">
      <c r="A2127">
        <v>2121</v>
      </c>
      <c r="B2127">
        <v>85581</v>
      </c>
      <c r="C2127" t="s">
        <v>4772</v>
      </c>
      <c r="D2127" t="s">
        <v>243</v>
      </c>
      <c r="E2127" t="s">
        <v>4773</v>
      </c>
      <c r="F2127" t="str">
        <f>"00144756"</f>
        <v>00144756</v>
      </c>
      <c r="G2127" t="s">
        <v>107</v>
      </c>
      <c r="H2127" t="s">
        <v>20</v>
      </c>
      <c r="I2127">
        <v>1472</v>
      </c>
      <c r="J2127" t="s">
        <v>21</v>
      </c>
      <c r="K2127">
        <v>0</v>
      </c>
      <c r="M2127">
        <v>1468</v>
      </c>
    </row>
    <row r="2128" spans="1:13">
      <c r="A2128">
        <v>2122</v>
      </c>
      <c r="B2128">
        <v>64000</v>
      </c>
      <c r="C2128" t="s">
        <v>4774</v>
      </c>
      <c r="D2128" t="s">
        <v>1001</v>
      </c>
      <c r="E2128" t="s">
        <v>4775</v>
      </c>
      <c r="F2128" t="str">
        <f>"00248472"</f>
        <v>00248472</v>
      </c>
      <c r="G2128" t="s">
        <v>1556</v>
      </c>
      <c r="H2128" t="s">
        <v>20</v>
      </c>
      <c r="I2128">
        <v>1530</v>
      </c>
      <c r="J2128" t="s">
        <v>21</v>
      </c>
      <c r="K2128">
        <v>0</v>
      </c>
      <c r="L2128" t="s">
        <v>35</v>
      </c>
      <c r="M2128">
        <v>1008</v>
      </c>
    </row>
    <row r="2129" spans="1:13">
      <c r="A2129">
        <v>2123</v>
      </c>
      <c r="B2129">
        <v>78910</v>
      </c>
      <c r="C2129" t="s">
        <v>4776</v>
      </c>
      <c r="D2129" t="s">
        <v>205</v>
      </c>
      <c r="E2129" t="s">
        <v>4777</v>
      </c>
      <c r="F2129" t="str">
        <f>"00386695"</f>
        <v>00386695</v>
      </c>
      <c r="G2129" t="s">
        <v>1160</v>
      </c>
      <c r="H2129" t="s">
        <v>20</v>
      </c>
      <c r="I2129">
        <v>1424</v>
      </c>
      <c r="J2129" t="s">
        <v>21</v>
      </c>
      <c r="K2129">
        <v>0</v>
      </c>
      <c r="L2129" t="s">
        <v>35</v>
      </c>
      <c r="M2129">
        <v>1108</v>
      </c>
    </row>
    <row r="2130" spans="1:13">
      <c r="A2130">
        <v>2124</v>
      </c>
      <c r="B2130">
        <v>98835</v>
      </c>
      <c r="C2130" t="s">
        <v>4778</v>
      </c>
      <c r="D2130" t="s">
        <v>811</v>
      </c>
      <c r="E2130" t="s">
        <v>4779</v>
      </c>
      <c r="F2130" t="str">
        <f>"201406001281"</f>
        <v>201406001281</v>
      </c>
      <c r="G2130" t="s">
        <v>38</v>
      </c>
      <c r="H2130" t="s">
        <v>39</v>
      </c>
      <c r="I2130">
        <v>1634</v>
      </c>
      <c r="J2130" t="s">
        <v>21</v>
      </c>
      <c r="K2130">
        <v>6</v>
      </c>
      <c r="M2130">
        <v>1188</v>
      </c>
    </row>
    <row r="2131" spans="1:13">
      <c r="A2131">
        <v>2125</v>
      </c>
      <c r="B2131">
        <v>74386</v>
      </c>
      <c r="C2131" t="s">
        <v>4780</v>
      </c>
      <c r="D2131" t="s">
        <v>180</v>
      </c>
      <c r="E2131" t="s">
        <v>4781</v>
      </c>
      <c r="F2131" t="str">
        <f>"00322133"</f>
        <v>00322133</v>
      </c>
      <c r="G2131" t="s">
        <v>107</v>
      </c>
      <c r="H2131" t="s">
        <v>20</v>
      </c>
      <c r="I2131">
        <v>1472</v>
      </c>
      <c r="J2131" t="s">
        <v>21</v>
      </c>
      <c r="K2131">
        <v>0</v>
      </c>
      <c r="L2131" t="s">
        <v>35</v>
      </c>
      <c r="M2131">
        <v>908</v>
      </c>
    </row>
    <row r="2132" spans="1:13">
      <c r="A2132">
        <v>2126</v>
      </c>
      <c r="B2132">
        <v>88972</v>
      </c>
      <c r="C2132" t="s">
        <v>4782</v>
      </c>
      <c r="D2132" t="s">
        <v>238</v>
      </c>
      <c r="E2132" t="s">
        <v>4783</v>
      </c>
      <c r="F2132" t="str">
        <f>"00294506"</f>
        <v>00294506</v>
      </c>
      <c r="G2132" t="s">
        <v>230</v>
      </c>
      <c r="H2132" t="s">
        <v>20</v>
      </c>
      <c r="I2132">
        <v>1545</v>
      </c>
      <c r="J2132" t="s">
        <v>21</v>
      </c>
      <c r="K2132">
        <v>0</v>
      </c>
      <c r="L2132" t="s">
        <v>35</v>
      </c>
      <c r="M2132">
        <v>1008</v>
      </c>
    </row>
    <row r="2133" spans="1:13">
      <c r="A2133">
        <v>2127</v>
      </c>
      <c r="B2133">
        <v>103032</v>
      </c>
      <c r="C2133" t="s">
        <v>4784</v>
      </c>
      <c r="D2133" t="s">
        <v>105</v>
      </c>
      <c r="E2133" t="s">
        <v>4785</v>
      </c>
      <c r="F2133" t="str">
        <f>"00390398"</f>
        <v>00390398</v>
      </c>
      <c r="G2133" t="s">
        <v>576</v>
      </c>
      <c r="H2133" t="s">
        <v>535</v>
      </c>
      <c r="I2133">
        <v>1666</v>
      </c>
      <c r="J2133" t="s">
        <v>21</v>
      </c>
      <c r="K2133">
        <v>6</v>
      </c>
      <c r="M2133">
        <v>1428</v>
      </c>
    </row>
    <row r="2134" spans="1:13">
      <c r="A2134">
        <v>2128</v>
      </c>
      <c r="B2134">
        <v>52767</v>
      </c>
      <c r="C2134" t="s">
        <v>4786</v>
      </c>
      <c r="D2134" t="s">
        <v>163</v>
      </c>
      <c r="E2134" t="s">
        <v>4787</v>
      </c>
      <c r="F2134" t="str">
        <f>"00344059"</f>
        <v>00344059</v>
      </c>
      <c r="G2134" t="s">
        <v>4788</v>
      </c>
      <c r="H2134" t="s">
        <v>1610</v>
      </c>
      <c r="I2134">
        <v>1309</v>
      </c>
      <c r="J2134" t="s">
        <v>21</v>
      </c>
      <c r="K2134">
        <v>6</v>
      </c>
      <c r="M2134">
        <v>1728</v>
      </c>
    </row>
    <row r="2135" spans="1:13">
      <c r="A2135">
        <v>2129</v>
      </c>
      <c r="B2135">
        <v>46054</v>
      </c>
      <c r="C2135" t="s">
        <v>4789</v>
      </c>
      <c r="D2135" t="s">
        <v>700</v>
      </c>
      <c r="E2135" t="s">
        <v>4790</v>
      </c>
      <c r="F2135" t="str">
        <f>"00348706"</f>
        <v>00348706</v>
      </c>
      <c r="G2135" t="s">
        <v>233</v>
      </c>
      <c r="H2135" t="s">
        <v>234</v>
      </c>
      <c r="I2135">
        <v>1339</v>
      </c>
      <c r="J2135" t="s">
        <v>21</v>
      </c>
      <c r="K2135">
        <v>6</v>
      </c>
      <c r="L2135" t="s">
        <v>35</v>
      </c>
      <c r="M2135">
        <v>708</v>
      </c>
    </row>
    <row r="2136" spans="1:13">
      <c r="A2136">
        <v>2130</v>
      </c>
      <c r="B2136">
        <v>51960</v>
      </c>
      <c r="C2136" t="s">
        <v>4791</v>
      </c>
      <c r="D2136" t="s">
        <v>105</v>
      </c>
      <c r="E2136" t="s">
        <v>4792</v>
      </c>
      <c r="F2136" t="str">
        <f>"00344312"</f>
        <v>00344312</v>
      </c>
      <c r="G2136" t="s">
        <v>19</v>
      </c>
      <c r="H2136" t="s">
        <v>20</v>
      </c>
      <c r="I2136">
        <v>1531</v>
      </c>
      <c r="J2136" t="s">
        <v>21</v>
      </c>
      <c r="K2136">
        <v>0</v>
      </c>
      <c r="M2136">
        <v>1428</v>
      </c>
    </row>
    <row r="2137" spans="1:13">
      <c r="A2137">
        <v>2131</v>
      </c>
      <c r="B2137">
        <v>62444</v>
      </c>
      <c r="C2137" t="s">
        <v>4793</v>
      </c>
      <c r="D2137" t="s">
        <v>249</v>
      </c>
      <c r="E2137" t="s">
        <v>4794</v>
      </c>
      <c r="F2137" t="str">
        <f>"00265693"</f>
        <v>00265693</v>
      </c>
      <c r="G2137" t="s">
        <v>600</v>
      </c>
      <c r="H2137" t="s">
        <v>366</v>
      </c>
      <c r="I2137">
        <v>1694</v>
      </c>
      <c r="J2137" t="s">
        <v>21</v>
      </c>
      <c r="K2137">
        <v>0</v>
      </c>
      <c r="L2137" t="s">
        <v>88</v>
      </c>
      <c r="M2137">
        <v>600</v>
      </c>
    </row>
    <row r="2138" spans="1:13">
      <c r="A2138">
        <v>2132</v>
      </c>
      <c r="B2138">
        <v>87429</v>
      </c>
      <c r="C2138" t="s">
        <v>4795</v>
      </c>
      <c r="D2138" t="s">
        <v>76</v>
      </c>
      <c r="E2138">
        <v>121021976</v>
      </c>
      <c r="F2138" t="str">
        <f>"00408453"</f>
        <v>00408453</v>
      </c>
      <c r="G2138" t="s">
        <v>211</v>
      </c>
      <c r="H2138" t="s">
        <v>48</v>
      </c>
      <c r="I2138">
        <v>1628</v>
      </c>
      <c r="J2138" t="s">
        <v>21</v>
      </c>
      <c r="K2138">
        <v>0</v>
      </c>
      <c r="L2138" t="s">
        <v>35</v>
      </c>
      <c r="M2138">
        <v>900</v>
      </c>
    </row>
    <row r="2139" spans="1:13">
      <c r="A2139">
        <v>2133</v>
      </c>
      <c r="B2139">
        <v>88323</v>
      </c>
      <c r="C2139" t="s">
        <v>4796</v>
      </c>
      <c r="D2139" t="s">
        <v>243</v>
      </c>
      <c r="E2139" t="s">
        <v>4797</v>
      </c>
      <c r="F2139" t="str">
        <f>"00395320"</f>
        <v>00395320</v>
      </c>
      <c r="G2139" t="s">
        <v>92</v>
      </c>
      <c r="H2139" t="s">
        <v>780</v>
      </c>
      <c r="I2139">
        <v>1402</v>
      </c>
      <c r="J2139" t="s">
        <v>21</v>
      </c>
      <c r="K2139">
        <v>0</v>
      </c>
      <c r="M2139">
        <v>1689</v>
      </c>
    </row>
    <row r="2140" spans="1:13">
      <c r="A2140">
        <v>2134</v>
      </c>
      <c r="B2140">
        <v>105043</v>
      </c>
      <c r="C2140" t="s">
        <v>4798</v>
      </c>
      <c r="D2140" t="s">
        <v>228</v>
      </c>
      <c r="E2140" t="s">
        <v>4799</v>
      </c>
      <c r="F2140" t="str">
        <f>"00407704"</f>
        <v>00407704</v>
      </c>
      <c r="G2140" t="s">
        <v>632</v>
      </c>
      <c r="H2140" t="s">
        <v>20</v>
      </c>
      <c r="I2140">
        <v>1461</v>
      </c>
      <c r="J2140" t="s">
        <v>21</v>
      </c>
      <c r="K2140">
        <v>0</v>
      </c>
      <c r="L2140" t="s">
        <v>35</v>
      </c>
      <c r="M2140">
        <v>1108</v>
      </c>
    </row>
    <row r="2141" spans="1:13">
      <c r="A2141">
        <v>2135</v>
      </c>
      <c r="B2141">
        <v>106280</v>
      </c>
      <c r="C2141" t="s">
        <v>4800</v>
      </c>
      <c r="D2141" t="s">
        <v>1675</v>
      </c>
      <c r="E2141" t="s">
        <v>4801</v>
      </c>
      <c r="F2141" t="str">
        <f>"00396958"</f>
        <v>00396958</v>
      </c>
      <c r="G2141" t="s">
        <v>87</v>
      </c>
      <c r="H2141" t="s">
        <v>20</v>
      </c>
      <c r="I2141">
        <v>1436</v>
      </c>
      <c r="J2141" t="s">
        <v>21</v>
      </c>
      <c r="K2141">
        <v>0</v>
      </c>
      <c r="M2141">
        <v>1443</v>
      </c>
    </row>
    <row r="2142" spans="1:13">
      <c r="A2142">
        <v>2136</v>
      </c>
      <c r="B2142">
        <v>63407</v>
      </c>
      <c r="C2142" t="s">
        <v>4802</v>
      </c>
      <c r="D2142" t="s">
        <v>209</v>
      </c>
      <c r="E2142" t="s">
        <v>4803</v>
      </c>
      <c r="F2142" t="str">
        <f>"00328830"</f>
        <v>00328830</v>
      </c>
      <c r="G2142" t="s">
        <v>955</v>
      </c>
      <c r="H2142" t="s">
        <v>48</v>
      </c>
      <c r="I2142">
        <v>1630</v>
      </c>
      <c r="J2142" t="s">
        <v>21</v>
      </c>
      <c r="K2142">
        <v>0</v>
      </c>
      <c r="L2142" t="s">
        <v>35</v>
      </c>
      <c r="M2142">
        <v>875</v>
      </c>
    </row>
    <row r="2143" spans="1:13">
      <c r="A2143">
        <v>2137</v>
      </c>
      <c r="B2143">
        <v>101870</v>
      </c>
      <c r="C2143" t="s">
        <v>4804</v>
      </c>
      <c r="D2143" t="s">
        <v>243</v>
      </c>
      <c r="E2143" t="s">
        <v>4805</v>
      </c>
      <c r="F2143" t="str">
        <f>"201402001954"</f>
        <v>201402001954</v>
      </c>
      <c r="G2143" t="s">
        <v>1100</v>
      </c>
      <c r="H2143" t="s">
        <v>234</v>
      </c>
      <c r="I2143">
        <v>1344</v>
      </c>
      <c r="J2143" t="s">
        <v>21</v>
      </c>
      <c r="K2143">
        <v>6</v>
      </c>
      <c r="L2143" t="s">
        <v>35</v>
      </c>
      <c r="M2143">
        <v>635</v>
      </c>
    </row>
    <row r="2144" spans="1:13">
      <c r="A2144">
        <v>2138</v>
      </c>
      <c r="B2144">
        <v>98983</v>
      </c>
      <c r="C2144" t="s">
        <v>4806</v>
      </c>
      <c r="D2144" t="s">
        <v>563</v>
      </c>
      <c r="E2144" t="s">
        <v>4807</v>
      </c>
      <c r="F2144" t="str">
        <f>"00380963"</f>
        <v>00380963</v>
      </c>
      <c r="G2144" t="s">
        <v>997</v>
      </c>
      <c r="H2144" t="s">
        <v>20</v>
      </c>
      <c r="I2144">
        <v>1502</v>
      </c>
      <c r="J2144" t="s">
        <v>21</v>
      </c>
      <c r="K2144">
        <v>0</v>
      </c>
      <c r="L2144" t="s">
        <v>59</v>
      </c>
      <c r="M2144">
        <v>1128</v>
      </c>
    </row>
    <row r="2145" spans="1:13">
      <c r="A2145">
        <v>2139</v>
      </c>
      <c r="B2145">
        <v>79335</v>
      </c>
      <c r="C2145" t="s">
        <v>4808</v>
      </c>
      <c r="D2145" t="s">
        <v>76</v>
      </c>
      <c r="E2145" t="s">
        <v>4809</v>
      </c>
      <c r="F2145" t="str">
        <f>"00384226"</f>
        <v>00384226</v>
      </c>
      <c r="G2145" t="s">
        <v>47</v>
      </c>
      <c r="H2145" t="s">
        <v>48</v>
      </c>
      <c r="I2145">
        <v>1623</v>
      </c>
      <c r="J2145" t="s">
        <v>21</v>
      </c>
      <c r="K2145">
        <v>0</v>
      </c>
      <c r="L2145" t="s">
        <v>59</v>
      </c>
      <c r="M2145">
        <v>1188</v>
      </c>
    </row>
    <row r="2146" spans="1:13">
      <c r="A2146">
        <v>2140</v>
      </c>
      <c r="B2146">
        <v>66507</v>
      </c>
      <c r="C2146" t="s">
        <v>4810</v>
      </c>
      <c r="D2146" t="s">
        <v>105</v>
      </c>
      <c r="E2146" t="s">
        <v>4811</v>
      </c>
      <c r="F2146" t="str">
        <f>"00396398"</f>
        <v>00396398</v>
      </c>
      <c r="G2146" t="s">
        <v>52</v>
      </c>
      <c r="H2146" t="s">
        <v>20</v>
      </c>
      <c r="I2146">
        <v>1503</v>
      </c>
      <c r="J2146" t="s">
        <v>21</v>
      </c>
      <c r="K2146">
        <v>0</v>
      </c>
      <c r="L2146" t="s">
        <v>35</v>
      </c>
      <c r="M2146">
        <v>908</v>
      </c>
    </row>
    <row r="2147" spans="1:13">
      <c r="A2147">
        <v>2141</v>
      </c>
      <c r="B2147">
        <v>98368</v>
      </c>
      <c r="C2147" t="s">
        <v>4812</v>
      </c>
      <c r="D2147" t="s">
        <v>145</v>
      </c>
      <c r="E2147" t="s">
        <v>4813</v>
      </c>
      <c r="F2147" t="str">
        <f>"00380254"</f>
        <v>00380254</v>
      </c>
      <c r="G2147" t="s">
        <v>2440</v>
      </c>
      <c r="H2147" t="s">
        <v>20</v>
      </c>
      <c r="I2147">
        <v>1567</v>
      </c>
      <c r="J2147" t="s">
        <v>21</v>
      </c>
      <c r="K2147">
        <v>0</v>
      </c>
      <c r="L2147" t="s">
        <v>35</v>
      </c>
      <c r="M2147">
        <v>1108</v>
      </c>
    </row>
    <row r="2148" spans="1:13">
      <c r="A2148">
        <v>2142</v>
      </c>
      <c r="B2148">
        <v>55169</v>
      </c>
      <c r="C2148" t="s">
        <v>4814</v>
      </c>
      <c r="D2148" t="s">
        <v>130</v>
      </c>
      <c r="E2148" t="s">
        <v>4815</v>
      </c>
      <c r="F2148" t="str">
        <f>"00361112"</f>
        <v>00361112</v>
      </c>
      <c r="G2148" t="s">
        <v>150</v>
      </c>
      <c r="H2148" t="s">
        <v>151</v>
      </c>
      <c r="I2148">
        <v>1699</v>
      </c>
      <c r="J2148" t="s">
        <v>21</v>
      </c>
      <c r="K2148">
        <v>0</v>
      </c>
      <c r="M2148">
        <v>1328</v>
      </c>
    </row>
    <row r="2149" spans="1:13">
      <c r="A2149">
        <v>2143</v>
      </c>
      <c r="B2149">
        <v>59370</v>
      </c>
      <c r="C2149" t="s">
        <v>4816</v>
      </c>
      <c r="D2149" t="s">
        <v>163</v>
      </c>
      <c r="E2149" t="s">
        <v>4817</v>
      </c>
      <c r="F2149" t="str">
        <f>"00382547"</f>
        <v>00382547</v>
      </c>
      <c r="G2149" t="s">
        <v>47</v>
      </c>
      <c r="H2149" t="s">
        <v>48</v>
      </c>
      <c r="I2149">
        <v>1623</v>
      </c>
      <c r="J2149" t="s">
        <v>21</v>
      </c>
      <c r="K2149">
        <v>0</v>
      </c>
      <c r="L2149" t="s">
        <v>88</v>
      </c>
      <c r="M2149">
        <v>500</v>
      </c>
    </row>
    <row r="2150" spans="1:13">
      <c r="A2150">
        <v>2144</v>
      </c>
      <c r="B2150">
        <v>61999</v>
      </c>
      <c r="C2150" t="s">
        <v>4818</v>
      </c>
      <c r="D2150" t="s">
        <v>76</v>
      </c>
      <c r="E2150" t="s">
        <v>4819</v>
      </c>
      <c r="F2150" t="str">
        <f>"00154090"</f>
        <v>00154090</v>
      </c>
      <c r="G2150" t="s">
        <v>47</v>
      </c>
      <c r="H2150" t="s">
        <v>48</v>
      </c>
      <c r="I2150">
        <v>1623</v>
      </c>
      <c r="J2150" t="s">
        <v>21</v>
      </c>
      <c r="K2150">
        <v>0</v>
      </c>
      <c r="L2150" t="s">
        <v>35</v>
      </c>
      <c r="M2150">
        <v>858</v>
      </c>
    </row>
    <row r="2151" spans="1:13">
      <c r="A2151">
        <v>2145</v>
      </c>
      <c r="B2151">
        <v>52708</v>
      </c>
      <c r="C2151" t="s">
        <v>4820</v>
      </c>
      <c r="D2151" t="s">
        <v>121</v>
      </c>
      <c r="E2151" t="s">
        <v>4821</v>
      </c>
      <c r="F2151" t="str">
        <f>"00346465"</f>
        <v>00346465</v>
      </c>
      <c r="G2151" t="s">
        <v>211</v>
      </c>
      <c r="H2151" t="s">
        <v>48</v>
      </c>
      <c r="I2151">
        <v>1628</v>
      </c>
      <c r="J2151" t="s">
        <v>21</v>
      </c>
      <c r="K2151">
        <v>0</v>
      </c>
      <c r="L2151" t="s">
        <v>35</v>
      </c>
      <c r="M2151">
        <v>891</v>
      </c>
    </row>
    <row r="2152" spans="1:13">
      <c r="A2152">
        <v>2146</v>
      </c>
      <c r="B2152">
        <v>57241</v>
      </c>
      <c r="C2152" t="s">
        <v>4822</v>
      </c>
      <c r="D2152" t="s">
        <v>700</v>
      </c>
      <c r="E2152" t="s">
        <v>4823</v>
      </c>
      <c r="F2152" t="str">
        <f>"201511025067"</f>
        <v>201511025067</v>
      </c>
      <c r="G2152" t="s">
        <v>52</v>
      </c>
      <c r="H2152" t="s">
        <v>20</v>
      </c>
      <c r="I2152">
        <v>1503</v>
      </c>
      <c r="J2152" t="s">
        <v>21</v>
      </c>
      <c r="K2152">
        <v>0</v>
      </c>
      <c r="M2152">
        <v>1338</v>
      </c>
    </row>
    <row r="2153" spans="1:13">
      <c r="A2153">
        <v>2147</v>
      </c>
      <c r="B2153">
        <v>100944</v>
      </c>
      <c r="C2153" t="s">
        <v>4824</v>
      </c>
      <c r="D2153" t="s">
        <v>525</v>
      </c>
      <c r="E2153" t="s">
        <v>4825</v>
      </c>
      <c r="F2153" t="str">
        <f>"00401737"</f>
        <v>00401737</v>
      </c>
      <c r="G2153" t="s">
        <v>245</v>
      </c>
      <c r="H2153" t="s">
        <v>20</v>
      </c>
      <c r="I2153">
        <v>1406</v>
      </c>
      <c r="J2153" t="s">
        <v>21</v>
      </c>
      <c r="K2153">
        <v>0</v>
      </c>
      <c r="M2153">
        <v>1488</v>
      </c>
    </row>
    <row r="2154" spans="1:13">
      <c r="A2154">
        <v>2148</v>
      </c>
      <c r="B2154">
        <v>59682</v>
      </c>
      <c r="C2154" t="s">
        <v>4826</v>
      </c>
      <c r="D2154" t="s">
        <v>243</v>
      </c>
      <c r="E2154" t="s">
        <v>4827</v>
      </c>
      <c r="F2154" t="str">
        <f>"00022918"</f>
        <v>00022918</v>
      </c>
      <c r="G2154" t="s">
        <v>294</v>
      </c>
      <c r="H2154" t="s">
        <v>20</v>
      </c>
      <c r="I2154">
        <v>1421</v>
      </c>
      <c r="J2154" t="s">
        <v>21</v>
      </c>
      <c r="K2154">
        <v>0</v>
      </c>
      <c r="M2154">
        <v>1431</v>
      </c>
    </row>
    <row r="2155" spans="1:13">
      <c r="A2155">
        <v>2149</v>
      </c>
      <c r="B2155">
        <v>46170</v>
      </c>
      <c r="C2155" t="s">
        <v>4828</v>
      </c>
      <c r="D2155" t="s">
        <v>76</v>
      </c>
      <c r="E2155" t="s">
        <v>4829</v>
      </c>
      <c r="F2155" t="str">
        <f>"201402003060"</f>
        <v>201402003060</v>
      </c>
      <c r="G2155" t="s">
        <v>170</v>
      </c>
      <c r="H2155" t="s">
        <v>20</v>
      </c>
      <c r="I2155">
        <v>1412</v>
      </c>
      <c r="J2155" t="s">
        <v>21</v>
      </c>
      <c r="K2155">
        <v>0</v>
      </c>
      <c r="M2155">
        <v>1428</v>
      </c>
    </row>
    <row r="2156" spans="1:13">
      <c r="A2156">
        <v>2150</v>
      </c>
      <c r="B2156">
        <v>69926</v>
      </c>
      <c r="C2156" t="s">
        <v>4830</v>
      </c>
      <c r="D2156" t="s">
        <v>121</v>
      </c>
      <c r="E2156" t="s">
        <v>4831</v>
      </c>
      <c r="F2156" t="str">
        <f>"201604002704"</f>
        <v>201604002704</v>
      </c>
      <c r="G2156" t="s">
        <v>1155</v>
      </c>
      <c r="H2156" t="s">
        <v>20</v>
      </c>
      <c r="I2156">
        <v>1480</v>
      </c>
      <c r="J2156" t="s">
        <v>21</v>
      </c>
      <c r="K2156">
        <v>0</v>
      </c>
      <c r="M2156">
        <v>1581</v>
      </c>
    </row>
    <row r="2157" spans="1:13">
      <c r="A2157">
        <v>2151</v>
      </c>
      <c r="B2157">
        <v>87050</v>
      </c>
      <c r="C2157" t="s">
        <v>4832</v>
      </c>
      <c r="D2157" t="s">
        <v>4833</v>
      </c>
      <c r="E2157" t="s">
        <v>4834</v>
      </c>
      <c r="F2157" t="str">
        <f>"00390274"</f>
        <v>00390274</v>
      </c>
      <c r="G2157" t="s">
        <v>2048</v>
      </c>
      <c r="H2157" t="s">
        <v>20</v>
      </c>
      <c r="I2157">
        <v>1633</v>
      </c>
      <c r="J2157" t="s">
        <v>21</v>
      </c>
      <c r="K2157">
        <v>6</v>
      </c>
      <c r="M2157">
        <v>1528</v>
      </c>
    </row>
    <row r="2158" spans="1:13">
      <c r="A2158">
        <v>2152</v>
      </c>
      <c r="B2158">
        <v>78088</v>
      </c>
      <c r="C2158" t="s">
        <v>4835</v>
      </c>
      <c r="D2158" t="s">
        <v>90</v>
      </c>
      <c r="E2158" t="s">
        <v>4836</v>
      </c>
      <c r="F2158" t="str">
        <f>"00389857"</f>
        <v>00389857</v>
      </c>
      <c r="G2158" t="s">
        <v>856</v>
      </c>
      <c r="H2158" t="s">
        <v>366</v>
      </c>
      <c r="I2158">
        <v>1706</v>
      </c>
      <c r="J2158" t="s">
        <v>21</v>
      </c>
      <c r="K2158">
        <v>0</v>
      </c>
      <c r="L2158" t="s">
        <v>35</v>
      </c>
      <c r="M2158">
        <v>900</v>
      </c>
    </row>
    <row r="2159" spans="1:13">
      <c r="A2159">
        <v>2153</v>
      </c>
      <c r="B2159">
        <v>108488</v>
      </c>
      <c r="C2159" t="s">
        <v>4837</v>
      </c>
      <c r="D2159" t="s">
        <v>243</v>
      </c>
      <c r="E2159" t="s">
        <v>4838</v>
      </c>
      <c r="F2159" t="str">
        <f>"00087952"</f>
        <v>00087952</v>
      </c>
      <c r="G2159" t="s">
        <v>19</v>
      </c>
      <c r="H2159" t="s">
        <v>20</v>
      </c>
      <c r="I2159">
        <v>1531</v>
      </c>
      <c r="J2159" t="s">
        <v>21</v>
      </c>
      <c r="K2159">
        <v>0</v>
      </c>
      <c r="L2159" t="s">
        <v>35</v>
      </c>
      <c r="M2159">
        <v>908</v>
      </c>
    </row>
    <row r="2160" spans="1:13">
      <c r="A2160">
        <v>2154</v>
      </c>
      <c r="B2160">
        <v>109994</v>
      </c>
      <c r="C2160" t="s">
        <v>4839</v>
      </c>
      <c r="D2160" t="s">
        <v>391</v>
      </c>
      <c r="E2160" t="s">
        <v>4840</v>
      </c>
      <c r="F2160" t="str">
        <f>"201511020650"</f>
        <v>201511020650</v>
      </c>
      <c r="G2160" t="s">
        <v>215</v>
      </c>
      <c r="H2160" t="s">
        <v>216</v>
      </c>
      <c r="I2160">
        <v>1708</v>
      </c>
      <c r="J2160" t="s">
        <v>21</v>
      </c>
      <c r="K2160">
        <v>6</v>
      </c>
      <c r="M2160">
        <v>1408</v>
      </c>
    </row>
    <row r="2161" spans="1:13">
      <c r="A2161">
        <v>2155</v>
      </c>
      <c r="B2161">
        <v>92768</v>
      </c>
      <c r="C2161" t="s">
        <v>4841</v>
      </c>
      <c r="D2161" t="s">
        <v>180</v>
      </c>
      <c r="E2161" t="s">
        <v>4842</v>
      </c>
      <c r="F2161" t="str">
        <f>"00397841"</f>
        <v>00397841</v>
      </c>
      <c r="G2161" t="s">
        <v>1203</v>
      </c>
      <c r="H2161" t="s">
        <v>20</v>
      </c>
      <c r="I2161">
        <v>1443</v>
      </c>
      <c r="J2161" t="s">
        <v>21</v>
      </c>
      <c r="K2161">
        <v>0</v>
      </c>
      <c r="L2161" t="s">
        <v>59</v>
      </c>
      <c r="M2161">
        <v>828</v>
      </c>
    </row>
    <row r="2162" spans="1:13">
      <c r="A2162">
        <v>2156</v>
      </c>
      <c r="B2162">
        <v>82852</v>
      </c>
      <c r="C2162" t="s">
        <v>4843</v>
      </c>
      <c r="D2162" t="s">
        <v>145</v>
      </c>
      <c r="E2162" t="s">
        <v>4844</v>
      </c>
      <c r="F2162" t="str">
        <f>"00318462"</f>
        <v>00318462</v>
      </c>
      <c r="G2162" t="s">
        <v>52</v>
      </c>
      <c r="H2162" t="s">
        <v>20</v>
      </c>
      <c r="I2162">
        <v>1503</v>
      </c>
      <c r="J2162" t="s">
        <v>21</v>
      </c>
      <c r="K2162">
        <v>0</v>
      </c>
      <c r="L2162" t="s">
        <v>59</v>
      </c>
      <c r="M2162">
        <v>854</v>
      </c>
    </row>
    <row r="2163" spans="1:13">
      <c r="A2163">
        <v>2157</v>
      </c>
      <c r="B2163">
        <v>94511</v>
      </c>
      <c r="C2163" t="s">
        <v>4845</v>
      </c>
      <c r="D2163" t="s">
        <v>180</v>
      </c>
      <c r="E2163" t="s">
        <v>4846</v>
      </c>
      <c r="F2163" t="str">
        <f>"00292087"</f>
        <v>00292087</v>
      </c>
      <c r="G2163" t="s">
        <v>19</v>
      </c>
      <c r="H2163" t="s">
        <v>20</v>
      </c>
      <c r="I2163">
        <v>1531</v>
      </c>
      <c r="J2163" t="s">
        <v>21</v>
      </c>
      <c r="K2163">
        <v>0</v>
      </c>
      <c r="L2163" t="s">
        <v>35</v>
      </c>
      <c r="M2163">
        <v>900</v>
      </c>
    </row>
    <row r="2164" spans="1:13">
      <c r="A2164">
        <v>2158</v>
      </c>
      <c r="B2164">
        <v>87413</v>
      </c>
      <c r="C2164" t="s">
        <v>4847</v>
      </c>
      <c r="D2164" t="s">
        <v>102</v>
      </c>
      <c r="E2164" t="s">
        <v>4848</v>
      </c>
      <c r="F2164" t="str">
        <f>"00396690"</f>
        <v>00396690</v>
      </c>
      <c r="G2164" t="s">
        <v>418</v>
      </c>
      <c r="H2164" t="s">
        <v>234</v>
      </c>
      <c r="I2164">
        <v>1335</v>
      </c>
      <c r="J2164" t="s">
        <v>21</v>
      </c>
      <c r="K2164">
        <v>6</v>
      </c>
      <c r="M2164">
        <v>1468</v>
      </c>
    </row>
    <row r="2165" spans="1:13">
      <c r="A2165">
        <v>2159</v>
      </c>
      <c r="B2165">
        <v>105640</v>
      </c>
      <c r="C2165" t="s">
        <v>4849</v>
      </c>
      <c r="D2165" t="s">
        <v>145</v>
      </c>
      <c r="E2165" t="s">
        <v>4850</v>
      </c>
      <c r="F2165" t="str">
        <f>"00398598"</f>
        <v>00398598</v>
      </c>
      <c r="G2165" t="s">
        <v>520</v>
      </c>
      <c r="H2165" t="s">
        <v>20</v>
      </c>
      <c r="I2165">
        <v>1540</v>
      </c>
      <c r="J2165" t="s">
        <v>21</v>
      </c>
      <c r="K2165">
        <v>0</v>
      </c>
      <c r="L2165" t="s">
        <v>35</v>
      </c>
      <c r="M2165">
        <v>1004</v>
      </c>
    </row>
    <row r="2166" spans="1:13">
      <c r="A2166">
        <v>2160</v>
      </c>
      <c r="B2166">
        <v>100306</v>
      </c>
      <c r="C2166" t="s">
        <v>4851</v>
      </c>
      <c r="D2166" t="s">
        <v>153</v>
      </c>
      <c r="E2166" t="s">
        <v>4852</v>
      </c>
      <c r="F2166" t="str">
        <f>"00374159"</f>
        <v>00374159</v>
      </c>
      <c r="G2166" t="s">
        <v>230</v>
      </c>
      <c r="H2166" t="s">
        <v>20</v>
      </c>
      <c r="I2166">
        <v>1545</v>
      </c>
      <c r="J2166" t="s">
        <v>21</v>
      </c>
      <c r="K2166">
        <v>0</v>
      </c>
      <c r="M2166">
        <v>1458</v>
      </c>
    </row>
    <row r="2167" spans="1:13">
      <c r="A2167">
        <v>2161</v>
      </c>
      <c r="B2167">
        <v>69950</v>
      </c>
      <c r="C2167" t="s">
        <v>4853</v>
      </c>
      <c r="D2167" t="s">
        <v>76</v>
      </c>
      <c r="E2167" t="s">
        <v>4854</v>
      </c>
      <c r="F2167" t="str">
        <f>"00382099"</f>
        <v>00382099</v>
      </c>
      <c r="G2167" t="s">
        <v>344</v>
      </c>
      <c r="H2167" t="s">
        <v>137</v>
      </c>
      <c r="I2167">
        <v>1614</v>
      </c>
      <c r="J2167" t="s">
        <v>21</v>
      </c>
      <c r="K2167">
        <v>0</v>
      </c>
      <c r="M2167">
        <v>1528</v>
      </c>
    </row>
    <row r="2168" spans="1:13">
      <c r="A2168">
        <v>2162</v>
      </c>
      <c r="B2168">
        <v>104584</v>
      </c>
      <c r="C2168" t="s">
        <v>4855</v>
      </c>
      <c r="D2168" t="s">
        <v>914</v>
      </c>
      <c r="E2168" t="s">
        <v>4856</v>
      </c>
      <c r="F2168" t="str">
        <f>"00406841"</f>
        <v>00406841</v>
      </c>
      <c r="G2168" t="s">
        <v>107</v>
      </c>
      <c r="H2168" t="s">
        <v>20</v>
      </c>
      <c r="I2168">
        <v>1472</v>
      </c>
      <c r="J2168" t="s">
        <v>21</v>
      </c>
      <c r="K2168">
        <v>0</v>
      </c>
      <c r="L2168" t="s">
        <v>35</v>
      </c>
      <c r="M2168">
        <v>1000</v>
      </c>
    </row>
    <row r="2169" spans="1:13">
      <c r="A2169">
        <v>2163</v>
      </c>
      <c r="B2169">
        <v>91340</v>
      </c>
      <c r="C2169" t="s">
        <v>4857</v>
      </c>
      <c r="D2169" t="s">
        <v>3178</v>
      </c>
      <c r="E2169" t="s">
        <v>4858</v>
      </c>
      <c r="F2169" t="str">
        <f>"00363016"</f>
        <v>00363016</v>
      </c>
      <c r="G2169" t="s">
        <v>332</v>
      </c>
      <c r="H2169" t="s">
        <v>270</v>
      </c>
      <c r="I2169">
        <v>1631</v>
      </c>
      <c r="J2169" t="s">
        <v>21</v>
      </c>
      <c r="K2169">
        <v>6</v>
      </c>
      <c r="M2169">
        <v>1343</v>
      </c>
    </row>
    <row r="2170" spans="1:13">
      <c r="A2170">
        <v>2164</v>
      </c>
      <c r="B2170">
        <v>72598</v>
      </c>
      <c r="C2170" t="s">
        <v>4859</v>
      </c>
      <c r="D2170" t="s">
        <v>145</v>
      </c>
      <c r="E2170" t="s">
        <v>4860</v>
      </c>
      <c r="F2170" t="str">
        <f>"00379765"</f>
        <v>00379765</v>
      </c>
      <c r="G2170" t="s">
        <v>107</v>
      </c>
      <c r="H2170" t="s">
        <v>20</v>
      </c>
      <c r="I2170">
        <v>1472</v>
      </c>
      <c r="J2170" t="s">
        <v>21</v>
      </c>
      <c r="K2170">
        <v>0</v>
      </c>
      <c r="M2170">
        <v>1598</v>
      </c>
    </row>
    <row r="2171" spans="1:13">
      <c r="A2171">
        <v>2165</v>
      </c>
      <c r="B2171">
        <v>60833</v>
      </c>
      <c r="C2171" t="s">
        <v>4861</v>
      </c>
      <c r="D2171" t="s">
        <v>145</v>
      </c>
      <c r="E2171" t="s">
        <v>4862</v>
      </c>
      <c r="F2171" t="str">
        <f>"00200511"</f>
        <v>00200511</v>
      </c>
      <c r="G2171" t="s">
        <v>371</v>
      </c>
      <c r="H2171" t="s">
        <v>20</v>
      </c>
      <c r="I2171">
        <v>1526</v>
      </c>
      <c r="J2171" t="s">
        <v>21</v>
      </c>
      <c r="K2171">
        <v>6</v>
      </c>
      <c r="L2171" t="s">
        <v>35</v>
      </c>
      <c r="M2171">
        <v>500</v>
      </c>
    </row>
    <row r="2172" spans="1:13">
      <c r="A2172">
        <v>2166</v>
      </c>
      <c r="B2172">
        <v>96323</v>
      </c>
      <c r="C2172" t="s">
        <v>4863</v>
      </c>
      <c r="D2172" t="s">
        <v>80</v>
      </c>
      <c r="E2172" t="s">
        <v>4864</v>
      </c>
      <c r="F2172" t="str">
        <f>"00390842"</f>
        <v>00390842</v>
      </c>
      <c r="G2172" t="s">
        <v>371</v>
      </c>
      <c r="H2172" t="s">
        <v>20</v>
      </c>
      <c r="I2172">
        <v>1526</v>
      </c>
      <c r="J2172" t="s">
        <v>21</v>
      </c>
      <c r="K2172">
        <v>6</v>
      </c>
      <c r="M2172">
        <v>1128</v>
      </c>
    </row>
    <row r="2173" spans="1:13">
      <c r="A2173">
        <v>2167</v>
      </c>
      <c r="B2173">
        <v>64873</v>
      </c>
      <c r="C2173" t="s">
        <v>4865</v>
      </c>
      <c r="D2173" t="s">
        <v>105</v>
      </c>
      <c r="E2173" t="s">
        <v>4866</v>
      </c>
      <c r="F2173" t="str">
        <f>"00187349"</f>
        <v>00187349</v>
      </c>
      <c r="G2173" t="s">
        <v>215</v>
      </c>
      <c r="H2173" t="s">
        <v>216</v>
      </c>
      <c r="I2173">
        <v>1708</v>
      </c>
      <c r="J2173" t="s">
        <v>21</v>
      </c>
      <c r="K2173">
        <v>6</v>
      </c>
      <c r="M2173">
        <v>1488</v>
      </c>
    </row>
    <row r="2174" spans="1:13">
      <c r="A2174">
        <v>2168</v>
      </c>
      <c r="B2174">
        <v>78274</v>
      </c>
      <c r="C2174" t="s">
        <v>4867</v>
      </c>
      <c r="D2174" t="s">
        <v>76</v>
      </c>
      <c r="E2174" t="s">
        <v>4868</v>
      </c>
      <c r="F2174" t="str">
        <f>"00271192"</f>
        <v>00271192</v>
      </c>
      <c r="G2174" t="s">
        <v>4869</v>
      </c>
      <c r="H2174" t="s">
        <v>20</v>
      </c>
      <c r="I2174">
        <v>1565</v>
      </c>
      <c r="J2174" t="s">
        <v>21</v>
      </c>
      <c r="K2174">
        <v>0</v>
      </c>
      <c r="L2174" t="s">
        <v>35</v>
      </c>
      <c r="M2174">
        <v>1158</v>
      </c>
    </row>
    <row r="2175" spans="1:13">
      <c r="A2175">
        <v>2169</v>
      </c>
      <c r="B2175">
        <v>75303</v>
      </c>
      <c r="C2175" t="s">
        <v>4870</v>
      </c>
      <c r="D2175" t="s">
        <v>180</v>
      </c>
      <c r="E2175" t="s">
        <v>4871</v>
      </c>
      <c r="F2175" t="str">
        <f>"00356266"</f>
        <v>00356266</v>
      </c>
      <c r="G2175" t="s">
        <v>230</v>
      </c>
      <c r="H2175" t="s">
        <v>20</v>
      </c>
      <c r="I2175">
        <v>1545</v>
      </c>
      <c r="J2175" t="s">
        <v>21</v>
      </c>
      <c r="K2175">
        <v>0</v>
      </c>
      <c r="L2175" t="s">
        <v>59</v>
      </c>
      <c r="M2175">
        <v>1078</v>
      </c>
    </row>
    <row r="2176" spans="1:13">
      <c r="A2176">
        <v>2170</v>
      </c>
      <c r="B2176">
        <v>72406</v>
      </c>
      <c r="C2176" t="s">
        <v>4872</v>
      </c>
      <c r="D2176" t="s">
        <v>205</v>
      </c>
      <c r="E2176" t="s">
        <v>4873</v>
      </c>
      <c r="F2176" t="str">
        <f>"00389948"</f>
        <v>00389948</v>
      </c>
      <c r="G2176" t="s">
        <v>196</v>
      </c>
      <c r="H2176" t="s">
        <v>20</v>
      </c>
      <c r="I2176">
        <v>1512</v>
      </c>
      <c r="J2176" t="s">
        <v>21</v>
      </c>
      <c r="K2176">
        <v>6</v>
      </c>
      <c r="L2176" t="s">
        <v>35</v>
      </c>
      <c r="M2176">
        <v>1006</v>
      </c>
    </row>
    <row r="2177" spans="1:13">
      <c r="A2177">
        <v>2171</v>
      </c>
      <c r="B2177">
        <v>55713</v>
      </c>
      <c r="C2177" t="s">
        <v>4874</v>
      </c>
      <c r="D2177" t="s">
        <v>76</v>
      </c>
      <c r="E2177" t="s">
        <v>4875</v>
      </c>
      <c r="F2177" t="str">
        <f>"00355823"</f>
        <v>00355823</v>
      </c>
      <c r="G2177" t="s">
        <v>1234</v>
      </c>
      <c r="H2177" t="s">
        <v>20</v>
      </c>
      <c r="I2177">
        <v>1548</v>
      </c>
      <c r="J2177" t="s">
        <v>21</v>
      </c>
      <c r="K2177">
        <v>0</v>
      </c>
      <c r="L2177" t="s">
        <v>35</v>
      </c>
      <c r="M2177">
        <v>1008</v>
      </c>
    </row>
    <row r="2178" spans="1:13">
      <c r="A2178">
        <v>2172</v>
      </c>
      <c r="B2178">
        <v>101662</v>
      </c>
      <c r="C2178" t="s">
        <v>4876</v>
      </c>
      <c r="D2178" t="s">
        <v>76</v>
      </c>
      <c r="E2178" t="s">
        <v>4877</v>
      </c>
      <c r="F2178" t="str">
        <f>"00400088"</f>
        <v>00400088</v>
      </c>
      <c r="G2178" t="s">
        <v>2817</v>
      </c>
      <c r="H2178" t="s">
        <v>20</v>
      </c>
      <c r="I2178">
        <v>1493</v>
      </c>
      <c r="J2178" t="s">
        <v>21</v>
      </c>
      <c r="K2178">
        <v>0</v>
      </c>
      <c r="L2178" t="s">
        <v>35</v>
      </c>
      <c r="M2178">
        <v>1075</v>
      </c>
    </row>
    <row r="2179" spans="1:13">
      <c r="A2179">
        <v>2173</v>
      </c>
      <c r="B2179">
        <v>89202</v>
      </c>
      <c r="C2179" t="s">
        <v>4878</v>
      </c>
      <c r="D2179" t="s">
        <v>109</v>
      </c>
      <c r="E2179" t="s">
        <v>4879</v>
      </c>
      <c r="F2179" t="str">
        <f>"00354848"</f>
        <v>00354848</v>
      </c>
      <c r="G2179" t="s">
        <v>1005</v>
      </c>
      <c r="H2179" t="s">
        <v>20</v>
      </c>
      <c r="I2179">
        <v>1580</v>
      </c>
      <c r="J2179" t="s">
        <v>21</v>
      </c>
      <c r="K2179">
        <v>6</v>
      </c>
      <c r="L2179" t="s">
        <v>35</v>
      </c>
      <c r="M2179">
        <v>908</v>
      </c>
    </row>
    <row r="2180" spans="1:13">
      <c r="A2180">
        <v>2174</v>
      </c>
      <c r="B2180">
        <v>47292</v>
      </c>
      <c r="C2180" t="s">
        <v>4880</v>
      </c>
      <c r="D2180" t="s">
        <v>130</v>
      </c>
      <c r="E2180" t="s">
        <v>4881</v>
      </c>
      <c r="F2180" t="str">
        <f>"00256226"</f>
        <v>00256226</v>
      </c>
      <c r="G2180" t="s">
        <v>576</v>
      </c>
      <c r="H2180" t="s">
        <v>535</v>
      </c>
      <c r="I2180">
        <v>1666</v>
      </c>
      <c r="J2180" t="s">
        <v>21</v>
      </c>
      <c r="K2180">
        <v>6</v>
      </c>
      <c r="L2180" t="s">
        <v>35</v>
      </c>
      <c r="M2180">
        <v>908</v>
      </c>
    </row>
    <row r="2181" spans="1:13">
      <c r="A2181">
        <v>2175</v>
      </c>
      <c r="B2181">
        <v>89336</v>
      </c>
      <c r="C2181" t="s">
        <v>4882</v>
      </c>
      <c r="D2181" t="s">
        <v>65</v>
      </c>
      <c r="E2181" t="s">
        <v>4883</v>
      </c>
      <c r="F2181" t="str">
        <f>"00417346"</f>
        <v>00417346</v>
      </c>
      <c r="G2181" t="s">
        <v>1561</v>
      </c>
      <c r="H2181" t="s">
        <v>1562</v>
      </c>
      <c r="I2181">
        <v>1616</v>
      </c>
      <c r="J2181" t="s">
        <v>21</v>
      </c>
      <c r="K2181">
        <v>0</v>
      </c>
      <c r="L2181" t="s">
        <v>59</v>
      </c>
      <c r="M2181">
        <v>888</v>
      </c>
    </row>
    <row r="2182" spans="1:13">
      <c r="A2182">
        <v>2176</v>
      </c>
      <c r="B2182">
        <v>106573</v>
      </c>
      <c r="C2182" t="s">
        <v>4884</v>
      </c>
      <c r="D2182" t="s">
        <v>80</v>
      </c>
      <c r="E2182" t="s">
        <v>4885</v>
      </c>
      <c r="F2182" t="str">
        <f>"00382362"</f>
        <v>00382362</v>
      </c>
      <c r="G2182" t="s">
        <v>1890</v>
      </c>
      <c r="H2182" t="s">
        <v>3499</v>
      </c>
      <c r="I2182">
        <v>1672</v>
      </c>
      <c r="J2182" t="s">
        <v>21</v>
      </c>
      <c r="K2182">
        <v>0</v>
      </c>
      <c r="M2182">
        <v>1388</v>
      </c>
    </row>
    <row r="2183" spans="1:13">
      <c r="A2183">
        <v>2177</v>
      </c>
      <c r="B2183">
        <v>100823</v>
      </c>
      <c r="C2183" t="s">
        <v>4886</v>
      </c>
      <c r="D2183" t="s">
        <v>76</v>
      </c>
      <c r="E2183" t="s">
        <v>4887</v>
      </c>
      <c r="F2183" t="str">
        <f>"00398720"</f>
        <v>00398720</v>
      </c>
      <c r="G2183" t="s">
        <v>125</v>
      </c>
      <c r="H2183" t="s">
        <v>20</v>
      </c>
      <c r="I2183">
        <v>1507</v>
      </c>
      <c r="J2183" t="s">
        <v>21</v>
      </c>
      <c r="K2183">
        <v>0</v>
      </c>
      <c r="L2183" t="s">
        <v>35</v>
      </c>
      <c r="M2183">
        <v>958</v>
      </c>
    </row>
    <row r="2184" spans="1:13">
      <c r="A2184">
        <v>2178</v>
      </c>
      <c r="B2184">
        <v>55538</v>
      </c>
      <c r="C2184" t="s">
        <v>4888</v>
      </c>
      <c r="D2184" t="s">
        <v>80</v>
      </c>
      <c r="E2184" t="s">
        <v>4889</v>
      </c>
      <c r="F2184" t="str">
        <f>"00357867"</f>
        <v>00357867</v>
      </c>
      <c r="G2184" t="s">
        <v>47</v>
      </c>
      <c r="H2184" t="s">
        <v>48</v>
      </c>
      <c r="I2184">
        <v>1623</v>
      </c>
      <c r="J2184" t="s">
        <v>21</v>
      </c>
      <c r="K2184">
        <v>0</v>
      </c>
      <c r="L2184" t="s">
        <v>35</v>
      </c>
      <c r="M2184">
        <v>1008</v>
      </c>
    </row>
    <row r="2185" spans="1:13">
      <c r="A2185">
        <v>2179</v>
      </c>
      <c r="B2185">
        <v>85683</v>
      </c>
      <c r="C2185" t="s">
        <v>4890</v>
      </c>
      <c r="D2185" t="s">
        <v>180</v>
      </c>
      <c r="E2185" t="s">
        <v>4891</v>
      </c>
      <c r="F2185" t="str">
        <f>"00199322"</f>
        <v>00199322</v>
      </c>
      <c r="G2185" t="s">
        <v>4452</v>
      </c>
      <c r="H2185" t="s">
        <v>274</v>
      </c>
      <c r="I2185">
        <v>1393</v>
      </c>
      <c r="J2185" t="s">
        <v>21</v>
      </c>
      <c r="K2185">
        <v>0</v>
      </c>
      <c r="M2185">
        <v>2028</v>
      </c>
    </row>
    <row r="2186" spans="1:13">
      <c r="A2186">
        <v>2180</v>
      </c>
      <c r="B2186">
        <v>104724</v>
      </c>
      <c r="C2186" t="s">
        <v>4892</v>
      </c>
      <c r="D2186" t="s">
        <v>102</v>
      </c>
      <c r="E2186" t="s">
        <v>4893</v>
      </c>
      <c r="F2186" t="str">
        <f>"00220502"</f>
        <v>00220502</v>
      </c>
      <c r="G2186" t="s">
        <v>19</v>
      </c>
      <c r="H2186" t="s">
        <v>20</v>
      </c>
      <c r="I2186">
        <v>1531</v>
      </c>
      <c r="J2186" t="s">
        <v>21</v>
      </c>
      <c r="K2186">
        <v>0</v>
      </c>
      <c r="L2186" t="s">
        <v>35</v>
      </c>
      <c r="M2186">
        <v>900</v>
      </c>
    </row>
    <row r="2187" spans="1:13">
      <c r="A2187">
        <v>2181</v>
      </c>
      <c r="B2187">
        <v>101223</v>
      </c>
      <c r="C2187" t="s">
        <v>4894</v>
      </c>
      <c r="D2187" t="s">
        <v>90</v>
      </c>
      <c r="E2187" t="s">
        <v>4895</v>
      </c>
      <c r="F2187" t="str">
        <f>"00374660"</f>
        <v>00374660</v>
      </c>
      <c r="G2187" t="s">
        <v>709</v>
      </c>
      <c r="H2187" t="s">
        <v>20</v>
      </c>
      <c r="I2187">
        <v>1413</v>
      </c>
      <c r="J2187" t="s">
        <v>21</v>
      </c>
      <c r="K2187">
        <v>0</v>
      </c>
      <c r="L2187" t="s">
        <v>35</v>
      </c>
      <c r="M2187">
        <v>875</v>
      </c>
    </row>
    <row r="2188" spans="1:13">
      <c r="A2188">
        <v>2182</v>
      </c>
      <c r="B2188">
        <v>105399</v>
      </c>
      <c r="C2188" t="s">
        <v>4896</v>
      </c>
      <c r="D2188" t="s">
        <v>80</v>
      </c>
      <c r="E2188" t="s">
        <v>4897</v>
      </c>
      <c r="F2188" t="str">
        <f>"201003000235"</f>
        <v>201003000235</v>
      </c>
      <c r="G2188" t="s">
        <v>2142</v>
      </c>
      <c r="H2188" t="s">
        <v>20</v>
      </c>
      <c r="I2188">
        <v>1423</v>
      </c>
      <c r="J2188" t="s">
        <v>21</v>
      </c>
      <c r="K2188">
        <v>0</v>
      </c>
      <c r="M2188">
        <v>1538</v>
      </c>
    </row>
    <row r="2189" spans="1:13">
      <c r="A2189">
        <v>2183</v>
      </c>
      <c r="B2189">
        <v>86392</v>
      </c>
      <c r="C2189" t="s">
        <v>4898</v>
      </c>
      <c r="D2189" t="s">
        <v>102</v>
      </c>
      <c r="E2189" t="s">
        <v>4899</v>
      </c>
      <c r="F2189" t="str">
        <f>"00398436"</f>
        <v>00398436</v>
      </c>
      <c r="G2189" t="s">
        <v>47</v>
      </c>
      <c r="H2189" t="s">
        <v>48</v>
      </c>
      <c r="I2189">
        <v>1623</v>
      </c>
      <c r="J2189" t="s">
        <v>21</v>
      </c>
      <c r="K2189">
        <v>0</v>
      </c>
      <c r="M2189">
        <v>1528</v>
      </c>
    </row>
    <row r="2190" spans="1:13">
      <c r="A2190">
        <v>2184</v>
      </c>
      <c r="B2190">
        <v>62969</v>
      </c>
      <c r="C2190" t="s">
        <v>4900</v>
      </c>
      <c r="D2190" t="s">
        <v>4901</v>
      </c>
      <c r="E2190" t="s">
        <v>4902</v>
      </c>
      <c r="F2190" t="str">
        <f>"201511009864"</f>
        <v>201511009864</v>
      </c>
      <c r="G2190" t="s">
        <v>67</v>
      </c>
      <c r="H2190" t="s">
        <v>20</v>
      </c>
      <c r="I2190">
        <v>1434</v>
      </c>
      <c r="J2190" t="s">
        <v>21</v>
      </c>
      <c r="K2190">
        <v>0</v>
      </c>
      <c r="M2190">
        <v>1428</v>
      </c>
    </row>
    <row r="2191" spans="1:13">
      <c r="A2191">
        <v>2185</v>
      </c>
      <c r="B2191">
        <v>66106</v>
      </c>
      <c r="C2191" t="s">
        <v>4903</v>
      </c>
      <c r="D2191" t="s">
        <v>105</v>
      </c>
      <c r="E2191" t="s">
        <v>4904</v>
      </c>
      <c r="F2191" t="str">
        <f>"00103131"</f>
        <v>00103131</v>
      </c>
      <c r="G2191" t="s">
        <v>2440</v>
      </c>
      <c r="H2191" t="s">
        <v>20</v>
      </c>
      <c r="I2191">
        <v>1567</v>
      </c>
      <c r="J2191" t="s">
        <v>21</v>
      </c>
      <c r="K2191">
        <v>0</v>
      </c>
      <c r="L2191" t="s">
        <v>35</v>
      </c>
      <c r="M2191">
        <v>1208</v>
      </c>
    </row>
    <row r="2192" spans="1:13">
      <c r="A2192">
        <v>2186</v>
      </c>
      <c r="B2192">
        <v>104121</v>
      </c>
      <c r="C2192" t="s">
        <v>4905</v>
      </c>
      <c r="D2192" t="s">
        <v>105</v>
      </c>
      <c r="E2192" t="s">
        <v>4906</v>
      </c>
      <c r="F2192" t="str">
        <f>"00383497"</f>
        <v>00383497</v>
      </c>
      <c r="G2192" t="s">
        <v>1165</v>
      </c>
      <c r="H2192" t="s">
        <v>20</v>
      </c>
      <c r="I2192">
        <v>1422</v>
      </c>
      <c r="J2192" t="s">
        <v>21</v>
      </c>
      <c r="K2192">
        <v>0</v>
      </c>
      <c r="L2192" t="s">
        <v>35</v>
      </c>
      <c r="M2192">
        <v>1300</v>
      </c>
    </row>
    <row r="2193" spans="1:13">
      <c r="A2193">
        <v>2187</v>
      </c>
      <c r="B2193">
        <v>99909</v>
      </c>
      <c r="C2193" t="s">
        <v>4907</v>
      </c>
      <c r="D2193" t="s">
        <v>566</v>
      </c>
      <c r="E2193" t="s">
        <v>4908</v>
      </c>
      <c r="F2193" t="str">
        <f>"00324182"</f>
        <v>00324182</v>
      </c>
      <c r="G2193" t="s">
        <v>4909</v>
      </c>
      <c r="H2193" t="s">
        <v>4910</v>
      </c>
      <c r="I2193">
        <v>1682</v>
      </c>
      <c r="J2193" t="s">
        <v>21</v>
      </c>
      <c r="K2193">
        <v>6</v>
      </c>
      <c r="M2193">
        <v>1688</v>
      </c>
    </row>
    <row r="2194" spans="1:13">
      <c r="A2194">
        <v>2188</v>
      </c>
      <c r="B2194">
        <v>111685</v>
      </c>
      <c r="C2194" t="s">
        <v>4911</v>
      </c>
      <c r="D2194" t="s">
        <v>90</v>
      </c>
      <c r="E2194" t="s">
        <v>4912</v>
      </c>
      <c r="F2194" t="str">
        <f>"00408508"</f>
        <v>00408508</v>
      </c>
      <c r="G2194" t="s">
        <v>329</v>
      </c>
      <c r="H2194" t="s">
        <v>20</v>
      </c>
      <c r="I2194">
        <v>1509</v>
      </c>
      <c r="J2194" t="s">
        <v>21</v>
      </c>
      <c r="K2194">
        <v>0</v>
      </c>
      <c r="L2194" t="s">
        <v>59</v>
      </c>
      <c r="M2194">
        <v>1088</v>
      </c>
    </row>
    <row r="2195" spans="1:13">
      <c r="A2195">
        <v>2189</v>
      </c>
      <c r="B2195">
        <v>71797</v>
      </c>
      <c r="C2195" t="s">
        <v>4913</v>
      </c>
      <c r="D2195" t="s">
        <v>1001</v>
      </c>
      <c r="E2195" t="s">
        <v>4914</v>
      </c>
      <c r="F2195" t="str">
        <f>"00090519"</f>
        <v>00090519</v>
      </c>
      <c r="G2195" t="s">
        <v>47</v>
      </c>
      <c r="H2195" t="s">
        <v>48</v>
      </c>
      <c r="I2195">
        <v>1623</v>
      </c>
      <c r="J2195" t="s">
        <v>21</v>
      </c>
      <c r="K2195">
        <v>0</v>
      </c>
      <c r="L2195" t="s">
        <v>35</v>
      </c>
      <c r="M2195">
        <v>974</v>
      </c>
    </row>
    <row r="2196" spans="1:13">
      <c r="A2196">
        <v>2190</v>
      </c>
      <c r="B2196">
        <v>72991</v>
      </c>
      <c r="C2196" t="s">
        <v>4915</v>
      </c>
      <c r="D2196" t="s">
        <v>105</v>
      </c>
      <c r="E2196" t="s">
        <v>4916</v>
      </c>
      <c r="F2196" t="str">
        <f>"200712003534"</f>
        <v>200712003534</v>
      </c>
      <c r="G2196" t="s">
        <v>1995</v>
      </c>
      <c r="H2196" t="s">
        <v>20</v>
      </c>
      <c r="I2196">
        <v>1508</v>
      </c>
      <c r="J2196" t="s">
        <v>21</v>
      </c>
      <c r="K2196">
        <v>0</v>
      </c>
      <c r="M2196">
        <v>1438</v>
      </c>
    </row>
    <row r="2197" spans="1:13">
      <c r="A2197">
        <v>2191</v>
      </c>
      <c r="B2197">
        <v>85981</v>
      </c>
      <c r="C2197" t="s">
        <v>4917</v>
      </c>
      <c r="D2197" t="s">
        <v>76</v>
      </c>
      <c r="E2197" t="s">
        <v>4918</v>
      </c>
      <c r="F2197" t="str">
        <f>"00397714"</f>
        <v>00397714</v>
      </c>
      <c r="G2197" t="s">
        <v>834</v>
      </c>
      <c r="H2197" t="s">
        <v>20</v>
      </c>
      <c r="I2197">
        <v>1416</v>
      </c>
      <c r="J2197" t="s">
        <v>21</v>
      </c>
      <c r="K2197">
        <v>0</v>
      </c>
      <c r="L2197" t="s">
        <v>83</v>
      </c>
      <c r="M2197">
        <v>1284</v>
      </c>
    </row>
    <row r="2198" spans="1:13">
      <c r="A2198">
        <v>2192</v>
      </c>
      <c r="B2198">
        <v>47009</v>
      </c>
      <c r="C2198" t="s">
        <v>4919</v>
      </c>
      <c r="D2198" t="s">
        <v>145</v>
      </c>
      <c r="E2198" t="s">
        <v>4920</v>
      </c>
      <c r="F2198" t="str">
        <f>"00208382"</f>
        <v>00208382</v>
      </c>
      <c r="G2198" t="s">
        <v>2322</v>
      </c>
      <c r="H2198" t="s">
        <v>4921</v>
      </c>
      <c r="I2198">
        <v>1723</v>
      </c>
      <c r="J2198" t="s">
        <v>21</v>
      </c>
      <c r="K2198">
        <v>0</v>
      </c>
      <c r="M2198">
        <v>1438</v>
      </c>
    </row>
    <row r="2199" spans="1:13">
      <c r="A2199">
        <v>2193</v>
      </c>
      <c r="B2199">
        <v>50090</v>
      </c>
      <c r="C2199" t="s">
        <v>4922</v>
      </c>
      <c r="D2199" t="s">
        <v>1232</v>
      </c>
      <c r="E2199" t="s">
        <v>4923</v>
      </c>
      <c r="F2199" t="str">
        <f>"00319642"</f>
        <v>00319642</v>
      </c>
      <c r="G2199" t="s">
        <v>3121</v>
      </c>
      <c r="H2199" t="s">
        <v>20</v>
      </c>
      <c r="I2199">
        <v>1491</v>
      </c>
      <c r="J2199" t="s">
        <v>21</v>
      </c>
      <c r="K2199">
        <v>0</v>
      </c>
      <c r="M2199">
        <v>1538</v>
      </c>
    </row>
    <row r="2200" spans="1:13">
      <c r="A2200">
        <v>2194</v>
      </c>
      <c r="B2200">
        <v>55013</v>
      </c>
      <c r="C2200" t="s">
        <v>4924</v>
      </c>
      <c r="D2200" t="s">
        <v>288</v>
      </c>
      <c r="E2200" t="s">
        <v>4925</v>
      </c>
      <c r="F2200" t="str">
        <f>"00367124"</f>
        <v>00367124</v>
      </c>
      <c r="G2200" t="s">
        <v>150</v>
      </c>
      <c r="H2200" t="s">
        <v>151</v>
      </c>
      <c r="I2200">
        <v>1699</v>
      </c>
      <c r="J2200" t="s">
        <v>21</v>
      </c>
      <c r="K2200">
        <v>0</v>
      </c>
      <c r="L2200" t="s">
        <v>35</v>
      </c>
      <c r="M2200">
        <v>855</v>
      </c>
    </row>
    <row r="2201" spans="1:13">
      <c r="A2201">
        <v>2195</v>
      </c>
      <c r="B2201">
        <v>56563</v>
      </c>
      <c r="C2201" t="s">
        <v>4926</v>
      </c>
      <c r="D2201" t="s">
        <v>209</v>
      </c>
      <c r="E2201" t="s">
        <v>4927</v>
      </c>
      <c r="F2201" t="str">
        <f>"00370216"</f>
        <v>00370216</v>
      </c>
      <c r="G2201" t="s">
        <v>1442</v>
      </c>
      <c r="H2201" t="s">
        <v>20</v>
      </c>
      <c r="I2201">
        <v>1578</v>
      </c>
      <c r="J2201" t="s">
        <v>21</v>
      </c>
      <c r="K2201">
        <v>7</v>
      </c>
      <c r="L2201" t="s">
        <v>35</v>
      </c>
      <c r="M2201">
        <v>750</v>
      </c>
    </row>
    <row r="2202" spans="1:13">
      <c r="A2202">
        <v>2196</v>
      </c>
      <c r="B2202">
        <v>101342</v>
      </c>
      <c r="C2202" t="s">
        <v>4928</v>
      </c>
      <c r="D2202" t="s">
        <v>145</v>
      </c>
      <c r="E2202" t="s">
        <v>4929</v>
      </c>
      <c r="F2202" t="str">
        <f>"00378845"</f>
        <v>00378845</v>
      </c>
      <c r="G2202" t="s">
        <v>19</v>
      </c>
      <c r="H2202" t="s">
        <v>20</v>
      </c>
      <c r="I2202">
        <v>1531</v>
      </c>
      <c r="J2202" t="s">
        <v>21</v>
      </c>
      <c r="K2202">
        <v>0</v>
      </c>
      <c r="L2202" t="s">
        <v>35</v>
      </c>
      <c r="M2202">
        <v>908</v>
      </c>
    </row>
    <row r="2203" spans="1:13">
      <c r="A2203">
        <v>2197</v>
      </c>
      <c r="B2203">
        <v>88525</v>
      </c>
      <c r="C2203" t="s">
        <v>4930</v>
      </c>
      <c r="D2203" t="s">
        <v>2684</v>
      </c>
      <c r="E2203" t="s">
        <v>4931</v>
      </c>
      <c r="F2203" t="str">
        <f>"00281904"</f>
        <v>00281904</v>
      </c>
      <c r="G2203" t="s">
        <v>371</v>
      </c>
      <c r="H2203" t="s">
        <v>20</v>
      </c>
      <c r="I2203">
        <v>1526</v>
      </c>
      <c r="J2203" t="s">
        <v>21</v>
      </c>
      <c r="K2203">
        <v>6</v>
      </c>
      <c r="L2203" t="s">
        <v>35</v>
      </c>
      <c r="M2203">
        <v>508</v>
      </c>
    </row>
    <row r="2204" spans="1:13">
      <c r="A2204">
        <v>2198</v>
      </c>
      <c r="B2204">
        <v>94307</v>
      </c>
      <c r="C2204" t="s">
        <v>4932</v>
      </c>
      <c r="D2204" t="s">
        <v>105</v>
      </c>
      <c r="E2204" t="s">
        <v>4933</v>
      </c>
      <c r="F2204" t="str">
        <f>"200910000154"</f>
        <v>200910000154</v>
      </c>
      <c r="G2204" t="s">
        <v>809</v>
      </c>
      <c r="H2204" t="s">
        <v>20</v>
      </c>
      <c r="I2204">
        <v>1504</v>
      </c>
      <c r="J2204" t="s">
        <v>21</v>
      </c>
      <c r="K2204">
        <v>0</v>
      </c>
      <c r="L2204" t="s">
        <v>35</v>
      </c>
      <c r="M2204">
        <v>1008</v>
      </c>
    </row>
    <row r="2205" spans="1:13">
      <c r="A2205">
        <v>2199</v>
      </c>
      <c r="B2205">
        <v>92714</v>
      </c>
      <c r="C2205" t="s">
        <v>4934</v>
      </c>
      <c r="D2205" t="s">
        <v>85</v>
      </c>
      <c r="E2205" t="s">
        <v>4935</v>
      </c>
      <c r="F2205" t="str">
        <f>"00398987"</f>
        <v>00398987</v>
      </c>
      <c r="G2205" t="s">
        <v>100</v>
      </c>
      <c r="H2205" t="s">
        <v>20</v>
      </c>
      <c r="I2205">
        <v>1468</v>
      </c>
      <c r="J2205" t="s">
        <v>21</v>
      </c>
      <c r="K2205">
        <v>0</v>
      </c>
      <c r="L2205" t="s">
        <v>59</v>
      </c>
      <c r="M2205">
        <v>1143</v>
      </c>
    </row>
    <row r="2206" spans="1:13">
      <c r="A2206">
        <v>2200</v>
      </c>
      <c r="B2206">
        <v>67706</v>
      </c>
      <c r="C2206" t="s">
        <v>4936</v>
      </c>
      <c r="D2206" t="s">
        <v>1945</v>
      </c>
      <c r="E2206" t="s">
        <v>4937</v>
      </c>
      <c r="F2206" t="str">
        <f>"00381155"</f>
        <v>00381155</v>
      </c>
      <c r="G2206" t="s">
        <v>107</v>
      </c>
      <c r="H2206" t="s">
        <v>20</v>
      </c>
      <c r="I2206">
        <v>1472</v>
      </c>
      <c r="J2206" t="s">
        <v>21</v>
      </c>
      <c r="K2206">
        <v>0</v>
      </c>
      <c r="M2206">
        <v>1514</v>
      </c>
    </row>
    <row r="2207" spans="1:13">
      <c r="A2207">
        <v>2201</v>
      </c>
      <c r="B2207">
        <v>53487</v>
      </c>
      <c r="C2207" t="s">
        <v>4938</v>
      </c>
      <c r="D2207" t="s">
        <v>76</v>
      </c>
      <c r="E2207" t="s">
        <v>4939</v>
      </c>
      <c r="F2207" t="str">
        <f>"00354081"</f>
        <v>00354081</v>
      </c>
      <c r="G2207" t="s">
        <v>111</v>
      </c>
      <c r="H2207" t="s">
        <v>48</v>
      </c>
      <c r="I2207">
        <v>1620</v>
      </c>
      <c r="J2207" t="s">
        <v>21</v>
      </c>
      <c r="K2207">
        <v>0</v>
      </c>
      <c r="L2207" t="s">
        <v>35</v>
      </c>
      <c r="M2207">
        <v>908</v>
      </c>
    </row>
    <row r="2208" spans="1:13">
      <c r="A2208">
        <v>2202</v>
      </c>
      <c r="B2208">
        <v>90981</v>
      </c>
      <c r="C2208" t="s">
        <v>4940</v>
      </c>
      <c r="D2208" t="s">
        <v>276</v>
      </c>
      <c r="E2208" t="s">
        <v>4941</v>
      </c>
      <c r="F2208" t="str">
        <f>"00401570"</f>
        <v>00401570</v>
      </c>
      <c r="G2208" t="s">
        <v>143</v>
      </c>
      <c r="H2208" t="s">
        <v>20</v>
      </c>
      <c r="I2208">
        <v>1499</v>
      </c>
      <c r="J2208" t="s">
        <v>21</v>
      </c>
      <c r="K2208">
        <v>0</v>
      </c>
      <c r="L2208" t="s">
        <v>35</v>
      </c>
      <c r="M2208">
        <v>1108</v>
      </c>
    </row>
    <row r="2209" spans="1:13">
      <c r="A2209">
        <v>2203</v>
      </c>
      <c r="B2209">
        <v>49367</v>
      </c>
      <c r="C2209" t="s">
        <v>4942</v>
      </c>
      <c r="D2209" t="s">
        <v>102</v>
      </c>
      <c r="E2209" t="s">
        <v>4943</v>
      </c>
      <c r="F2209" t="str">
        <f>"00157123"</f>
        <v>00157123</v>
      </c>
      <c r="G2209" t="s">
        <v>371</v>
      </c>
      <c r="H2209" t="s">
        <v>20</v>
      </c>
      <c r="I2209">
        <v>1526</v>
      </c>
      <c r="J2209" t="s">
        <v>21</v>
      </c>
      <c r="K2209">
        <v>0</v>
      </c>
      <c r="L2209" t="s">
        <v>88</v>
      </c>
      <c r="M2209">
        <v>400</v>
      </c>
    </row>
    <row r="2210" spans="1:13">
      <c r="A2210">
        <v>2204</v>
      </c>
      <c r="B2210">
        <v>92932</v>
      </c>
      <c r="C2210" t="s">
        <v>4944</v>
      </c>
      <c r="D2210" t="s">
        <v>105</v>
      </c>
      <c r="E2210" t="s">
        <v>4945</v>
      </c>
      <c r="F2210" t="str">
        <f>"00257439"</f>
        <v>00257439</v>
      </c>
      <c r="G2210" t="s">
        <v>107</v>
      </c>
      <c r="H2210" t="s">
        <v>20</v>
      </c>
      <c r="I2210">
        <v>1472</v>
      </c>
      <c r="J2210" t="s">
        <v>21</v>
      </c>
      <c r="K2210">
        <v>0</v>
      </c>
      <c r="L2210" t="s">
        <v>35</v>
      </c>
      <c r="M2210">
        <v>1058</v>
      </c>
    </row>
    <row r="2211" spans="1:13">
      <c r="A2211">
        <v>2205</v>
      </c>
      <c r="B2211">
        <v>78659</v>
      </c>
      <c r="C2211" t="s">
        <v>4946</v>
      </c>
      <c r="D2211" t="s">
        <v>209</v>
      </c>
      <c r="E2211" t="s">
        <v>4947</v>
      </c>
      <c r="F2211" t="str">
        <f>"00282649"</f>
        <v>00282649</v>
      </c>
      <c r="G2211" t="s">
        <v>691</v>
      </c>
      <c r="H2211" t="s">
        <v>241</v>
      </c>
      <c r="I2211">
        <v>1360</v>
      </c>
      <c r="J2211" t="s">
        <v>21</v>
      </c>
      <c r="K2211">
        <v>0</v>
      </c>
      <c r="M2211">
        <v>1500</v>
      </c>
    </row>
    <row r="2212" spans="1:13">
      <c r="A2212">
        <v>2206</v>
      </c>
      <c r="B2212">
        <v>84877</v>
      </c>
      <c r="C2212" t="s">
        <v>4948</v>
      </c>
      <c r="D2212" t="s">
        <v>180</v>
      </c>
      <c r="E2212" t="s">
        <v>4949</v>
      </c>
      <c r="F2212" t="str">
        <f>"00385517"</f>
        <v>00385517</v>
      </c>
      <c r="G2212" t="s">
        <v>527</v>
      </c>
      <c r="H2212" t="s">
        <v>20</v>
      </c>
      <c r="I2212">
        <v>1568</v>
      </c>
      <c r="J2212" t="s">
        <v>21</v>
      </c>
      <c r="K2212">
        <v>0</v>
      </c>
      <c r="M2212">
        <v>1388</v>
      </c>
    </row>
    <row r="2213" spans="1:13">
      <c r="A2213">
        <v>2207</v>
      </c>
      <c r="B2213">
        <v>50954</v>
      </c>
      <c r="C2213" t="s">
        <v>4950</v>
      </c>
      <c r="D2213" t="s">
        <v>288</v>
      </c>
      <c r="E2213" t="s">
        <v>4951</v>
      </c>
      <c r="F2213" t="str">
        <f>"00364035"</f>
        <v>00364035</v>
      </c>
      <c r="G2213" t="s">
        <v>255</v>
      </c>
      <c r="H2213" t="s">
        <v>20</v>
      </c>
      <c r="I2213">
        <v>1513</v>
      </c>
      <c r="J2213" t="s">
        <v>21</v>
      </c>
      <c r="K2213">
        <v>6</v>
      </c>
      <c r="M2213">
        <v>1328</v>
      </c>
    </row>
    <row r="2214" spans="1:13">
      <c r="A2214">
        <v>2208</v>
      </c>
      <c r="B2214">
        <v>106340</v>
      </c>
      <c r="C2214" t="s">
        <v>4952</v>
      </c>
      <c r="D2214" t="s">
        <v>130</v>
      </c>
      <c r="E2214" t="s">
        <v>4953</v>
      </c>
      <c r="F2214" t="str">
        <f>"00403519"</f>
        <v>00403519</v>
      </c>
      <c r="G2214" t="s">
        <v>255</v>
      </c>
      <c r="H2214" t="s">
        <v>20</v>
      </c>
      <c r="I2214">
        <v>1513</v>
      </c>
      <c r="J2214" t="s">
        <v>21</v>
      </c>
      <c r="K2214">
        <v>6</v>
      </c>
      <c r="M2214">
        <v>1328</v>
      </c>
    </row>
    <row r="2215" spans="1:13">
      <c r="A2215">
        <v>2209</v>
      </c>
      <c r="B2215">
        <v>51107</v>
      </c>
      <c r="C2215" t="s">
        <v>4954</v>
      </c>
      <c r="D2215" t="s">
        <v>76</v>
      </c>
      <c r="E2215" t="s">
        <v>4955</v>
      </c>
      <c r="F2215" t="str">
        <f>"200906000561"</f>
        <v>200906000561</v>
      </c>
      <c r="G2215" t="s">
        <v>155</v>
      </c>
      <c r="H2215" t="s">
        <v>156</v>
      </c>
      <c r="I2215">
        <v>1342</v>
      </c>
      <c r="J2215" t="s">
        <v>21</v>
      </c>
      <c r="K2215">
        <v>0</v>
      </c>
      <c r="M2215">
        <v>1507</v>
      </c>
    </row>
    <row r="2216" spans="1:13">
      <c r="A2216">
        <v>2210</v>
      </c>
      <c r="B2216">
        <v>116028</v>
      </c>
      <c r="C2216" t="s">
        <v>4956</v>
      </c>
      <c r="D2216" t="s">
        <v>391</v>
      </c>
      <c r="E2216" t="s">
        <v>4957</v>
      </c>
      <c r="F2216" t="str">
        <f>"00422512"</f>
        <v>00422512</v>
      </c>
      <c r="G2216" t="s">
        <v>1712</v>
      </c>
      <c r="H2216" t="s">
        <v>241</v>
      </c>
      <c r="I2216">
        <v>1362</v>
      </c>
      <c r="J2216" t="s">
        <v>21</v>
      </c>
      <c r="K2216">
        <v>0</v>
      </c>
      <c r="M2216">
        <v>1728</v>
      </c>
    </row>
    <row r="2217" spans="1:13">
      <c r="A2217">
        <v>2211</v>
      </c>
      <c r="B2217">
        <v>80172</v>
      </c>
      <c r="C2217" t="s">
        <v>4958</v>
      </c>
      <c r="D2217" t="s">
        <v>65</v>
      </c>
      <c r="E2217" t="s">
        <v>4959</v>
      </c>
      <c r="F2217" t="str">
        <f>"00403098"</f>
        <v>00403098</v>
      </c>
      <c r="G2217" t="s">
        <v>709</v>
      </c>
      <c r="H2217" t="s">
        <v>20</v>
      </c>
      <c r="I2217">
        <v>1413</v>
      </c>
      <c r="J2217" t="s">
        <v>21</v>
      </c>
      <c r="K2217">
        <v>0</v>
      </c>
      <c r="M2217">
        <v>1328</v>
      </c>
    </row>
    <row r="2218" spans="1:13">
      <c r="A2218">
        <v>2212</v>
      </c>
      <c r="B2218">
        <v>62239</v>
      </c>
      <c r="C2218" t="s">
        <v>4960</v>
      </c>
      <c r="D2218" t="s">
        <v>139</v>
      </c>
      <c r="E2218" t="s">
        <v>4961</v>
      </c>
      <c r="F2218" t="str">
        <f>"00276575"</f>
        <v>00276575</v>
      </c>
      <c r="G2218" t="s">
        <v>1079</v>
      </c>
      <c r="H2218" t="s">
        <v>20</v>
      </c>
      <c r="I2218">
        <v>1433</v>
      </c>
      <c r="J2218" t="s">
        <v>21</v>
      </c>
      <c r="K2218">
        <v>0</v>
      </c>
      <c r="M2218">
        <v>1889</v>
      </c>
    </row>
    <row r="2219" spans="1:13">
      <c r="A2219">
        <v>2213</v>
      </c>
      <c r="B2219">
        <v>114644</v>
      </c>
      <c r="C2219" t="s">
        <v>4962</v>
      </c>
      <c r="D2219" t="s">
        <v>4963</v>
      </c>
      <c r="E2219" t="s">
        <v>4964</v>
      </c>
      <c r="F2219" t="str">
        <f>"00276042"</f>
        <v>00276042</v>
      </c>
      <c r="G2219" t="s">
        <v>87</v>
      </c>
      <c r="H2219" t="s">
        <v>20</v>
      </c>
      <c r="I2219">
        <v>1436</v>
      </c>
      <c r="J2219" t="s">
        <v>21</v>
      </c>
      <c r="K2219">
        <v>0</v>
      </c>
      <c r="L2219" t="s">
        <v>35</v>
      </c>
      <c r="M2219">
        <v>908</v>
      </c>
    </row>
    <row r="2220" spans="1:13">
      <c r="A2220">
        <v>2214</v>
      </c>
      <c r="B2220">
        <v>116589</v>
      </c>
      <c r="C2220" t="s">
        <v>4965</v>
      </c>
      <c r="D2220" t="s">
        <v>76</v>
      </c>
      <c r="E2220" t="s">
        <v>4966</v>
      </c>
      <c r="F2220" t="str">
        <f>"00410922"</f>
        <v>00410922</v>
      </c>
      <c r="G2220" t="s">
        <v>63</v>
      </c>
      <c r="H2220" t="s">
        <v>20</v>
      </c>
      <c r="I2220">
        <v>1576</v>
      </c>
      <c r="J2220" t="s">
        <v>21</v>
      </c>
      <c r="K2220">
        <v>0</v>
      </c>
      <c r="M2220">
        <v>1788</v>
      </c>
    </row>
    <row r="2221" spans="1:13">
      <c r="A2221">
        <v>2215</v>
      </c>
      <c r="B2221">
        <v>109142</v>
      </c>
      <c r="C2221" t="s">
        <v>4967</v>
      </c>
      <c r="D2221" t="s">
        <v>105</v>
      </c>
      <c r="E2221" t="s">
        <v>4968</v>
      </c>
      <c r="F2221" t="str">
        <f>"00418604"</f>
        <v>00418604</v>
      </c>
      <c r="G2221" t="s">
        <v>1995</v>
      </c>
      <c r="H2221" t="s">
        <v>20</v>
      </c>
      <c r="I2221">
        <v>1508</v>
      </c>
      <c r="J2221" t="s">
        <v>21</v>
      </c>
      <c r="K2221">
        <v>0</v>
      </c>
      <c r="L2221" t="s">
        <v>35</v>
      </c>
      <c r="M2221">
        <v>958</v>
      </c>
    </row>
    <row r="2222" spans="1:13">
      <c r="A2222">
        <v>2216</v>
      </c>
      <c r="B2222">
        <v>95298</v>
      </c>
      <c r="C2222" t="s">
        <v>4969</v>
      </c>
      <c r="D2222" t="s">
        <v>4970</v>
      </c>
      <c r="E2222" t="s">
        <v>4971</v>
      </c>
      <c r="F2222" t="str">
        <f>"00294303"</f>
        <v>00294303</v>
      </c>
      <c r="G2222" t="s">
        <v>834</v>
      </c>
      <c r="H2222" t="s">
        <v>20</v>
      </c>
      <c r="I2222">
        <v>1416</v>
      </c>
      <c r="J2222" t="s">
        <v>21</v>
      </c>
      <c r="K2222">
        <v>0</v>
      </c>
      <c r="L2222" t="s">
        <v>35</v>
      </c>
      <c r="M2222">
        <v>922</v>
      </c>
    </row>
    <row r="2223" spans="1:13">
      <c r="A2223">
        <v>2217</v>
      </c>
      <c r="B2223">
        <v>98076</v>
      </c>
      <c r="C2223" t="s">
        <v>4972</v>
      </c>
      <c r="D2223" t="s">
        <v>76</v>
      </c>
      <c r="E2223" t="s">
        <v>4973</v>
      </c>
      <c r="F2223" t="str">
        <f>"00399235"</f>
        <v>00399235</v>
      </c>
      <c r="G2223" t="s">
        <v>1125</v>
      </c>
      <c r="H2223" t="s">
        <v>20</v>
      </c>
      <c r="I2223">
        <v>1431</v>
      </c>
      <c r="J2223" t="s">
        <v>21</v>
      </c>
      <c r="K2223">
        <v>0</v>
      </c>
      <c r="M2223">
        <v>1528</v>
      </c>
    </row>
    <row r="2224" spans="1:13">
      <c r="A2224">
        <v>2218</v>
      </c>
      <c r="B2224">
        <v>60782</v>
      </c>
      <c r="C2224" t="s">
        <v>4974</v>
      </c>
      <c r="D2224" t="s">
        <v>243</v>
      </c>
      <c r="E2224" t="s">
        <v>4975</v>
      </c>
      <c r="F2224" t="str">
        <f>"00253378"</f>
        <v>00253378</v>
      </c>
      <c r="G2224" t="s">
        <v>1764</v>
      </c>
      <c r="H2224" t="s">
        <v>20</v>
      </c>
      <c r="I2224">
        <v>1532</v>
      </c>
      <c r="J2224" t="s">
        <v>21</v>
      </c>
      <c r="K2224">
        <v>0</v>
      </c>
      <c r="L2224" t="s">
        <v>59</v>
      </c>
      <c r="M2224">
        <v>793</v>
      </c>
    </row>
    <row r="2225" spans="1:13">
      <c r="A2225">
        <v>2219</v>
      </c>
      <c r="B2225">
        <v>105588</v>
      </c>
      <c r="C2225" t="s">
        <v>4976</v>
      </c>
      <c r="D2225" t="s">
        <v>4977</v>
      </c>
      <c r="E2225" t="s">
        <v>4978</v>
      </c>
      <c r="F2225" t="str">
        <f>"00372330"</f>
        <v>00372330</v>
      </c>
      <c r="G2225" t="s">
        <v>200</v>
      </c>
      <c r="H2225" t="s">
        <v>20</v>
      </c>
      <c r="I2225">
        <v>1492</v>
      </c>
      <c r="J2225" t="s">
        <v>21</v>
      </c>
      <c r="K2225">
        <v>0</v>
      </c>
      <c r="L2225" t="s">
        <v>59</v>
      </c>
      <c r="M2225">
        <v>972</v>
      </c>
    </row>
    <row r="2226" spans="1:13">
      <c r="A2226">
        <v>2220</v>
      </c>
      <c r="B2226">
        <v>94384</v>
      </c>
      <c r="C2226" t="s">
        <v>4979</v>
      </c>
      <c r="D2226" t="s">
        <v>180</v>
      </c>
      <c r="E2226" t="s">
        <v>4980</v>
      </c>
      <c r="F2226" t="str">
        <f>"00386559"</f>
        <v>00386559</v>
      </c>
      <c r="G2226" t="s">
        <v>344</v>
      </c>
      <c r="H2226" t="s">
        <v>137</v>
      </c>
      <c r="I2226">
        <v>1614</v>
      </c>
      <c r="J2226" t="s">
        <v>21</v>
      </c>
      <c r="K2226">
        <v>0</v>
      </c>
      <c r="L2226" t="s">
        <v>59</v>
      </c>
      <c r="M2226">
        <v>1058</v>
      </c>
    </row>
    <row r="2227" spans="1:13">
      <c r="A2227">
        <v>2221</v>
      </c>
      <c r="B2227">
        <v>109264</v>
      </c>
      <c r="C2227" t="s">
        <v>4981</v>
      </c>
      <c r="D2227" t="s">
        <v>566</v>
      </c>
      <c r="E2227" t="s">
        <v>4982</v>
      </c>
      <c r="F2227" t="str">
        <f>"00347238"</f>
        <v>00347238</v>
      </c>
      <c r="G2227" t="s">
        <v>1595</v>
      </c>
      <c r="H2227" t="s">
        <v>20</v>
      </c>
      <c r="I2227">
        <v>1538</v>
      </c>
      <c r="J2227" t="s">
        <v>21</v>
      </c>
      <c r="K2227">
        <v>6</v>
      </c>
      <c r="M2227">
        <v>1328</v>
      </c>
    </row>
    <row r="2228" spans="1:13">
      <c r="A2228">
        <v>2222</v>
      </c>
      <c r="B2228">
        <v>55509</v>
      </c>
      <c r="C2228" t="s">
        <v>4983</v>
      </c>
      <c r="D2228" t="s">
        <v>80</v>
      </c>
      <c r="E2228" t="s">
        <v>4984</v>
      </c>
      <c r="F2228" t="str">
        <f>"00348926"</f>
        <v>00348926</v>
      </c>
      <c r="G2228" t="s">
        <v>107</v>
      </c>
      <c r="H2228" t="s">
        <v>20</v>
      </c>
      <c r="I2228">
        <v>1472</v>
      </c>
      <c r="J2228" t="s">
        <v>21</v>
      </c>
      <c r="K2228">
        <v>0</v>
      </c>
      <c r="M2228">
        <v>1528</v>
      </c>
    </row>
    <row r="2229" spans="1:13">
      <c r="A2229">
        <v>2223</v>
      </c>
      <c r="B2229">
        <v>59220</v>
      </c>
      <c r="C2229" t="s">
        <v>4983</v>
      </c>
      <c r="D2229" t="s">
        <v>180</v>
      </c>
      <c r="E2229" t="s">
        <v>4985</v>
      </c>
      <c r="F2229" t="str">
        <f>"00319068"</f>
        <v>00319068</v>
      </c>
      <c r="G2229" t="s">
        <v>341</v>
      </c>
      <c r="H2229" t="s">
        <v>20</v>
      </c>
      <c r="I2229">
        <v>1553</v>
      </c>
      <c r="J2229" t="s">
        <v>21</v>
      </c>
      <c r="K2229">
        <v>6</v>
      </c>
      <c r="M2229">
        <v>1328</v>
      </c>
    </row>
    <row r="2230" spans="1:13">
      <c r="A2230">
        <v>2224</v>
      </c>
      <c r="B2230">
        <v>62797</v>
      </c>
      <c r="C2230" t="s">
        <v>4986</v>
      </c>
      <c r="D2230" t="s">
        <v>85</v>
      </c>
      <c r="E2230" t="s">
        <v>4987</v>
      </c>
      <c r="F2230" t="str">
        <f>"00257570"</f>
        <v>00257570</v>
      </c>
      <c r="G2230" t="s">
        <v>1595</v>
      </c>
      <c r="H2230" t="s">
        <v>20</v>
      </c>
      <c r="I2230">
        <v>1538</v>
      </c>
      <c r="J2230" t="s">
        <v>21</v>
      </c>
      <c r="K2230">
        <v>6</v>
      </c>
      <c r="L2230" t="s">
        <v>35</v>
      </c>
      <c r="M2230">
        <v>740</v>
      </c>
    </row>
    <row r="2231" spans="1:13">
      <c r="A2231">
        <v>2225</v>
      </c>
      <c r="B2231">
        <v>56554</v>
      </c>
      <c r="C2231" t="s">
        <v>4988</v>
      </c>
      <c r="D2231" t="s">
        <v>105</v>
      </c>
      <c r="E2231" t="s">
        <v>4989</v>
      </c>
      <c r="F2231" t="str">
        <f>"00361597"</f>
        <v>00361597</v>
      </c>
      <c r="G2231" t="s">
        <v>38</v>
      </c>
      <c r="H2231" t="s">
        <v>39</v>
      </c>
      <c r="I2231">
        <v>1634</v>
      </c>
      <c r="J2231" t="s">
        <v>21</v>
      </c>
      <c r="K2231">
        <v>6</v>
      </c>
      <c r="L2231" t="s">
        <v>35</v>
      </c>
      <c r="M2231">
        <v>591</v>
      </c>
    </row>
    <row r="2232" spans="1:13">
      <c r="A2232">
        <v>2226</v>
      </c>
      <c r="B2232">
        <v>109246</v>
      </c>
      <c r="C2232" t="s">
        <v>4990</v>
      </c>
      <c r="D2232" t="s">
        <v>566</v>
      </c>
      <c r="E2232" t="s">
        <v>4991</v>
      </c>
      <c r="F2232" t="str">
        <f>"00423179"</f>
        <v>00423179</v>
      </c>
      <c r="G2232" t="s">
        <v>1595</v>
      </c>
      <c r="H2232" t="s">
        <v>20</v>
      </c>
      <c r="I2232">
        <v>1538</v>
      </c>
      <c r="J2232" t="s">
        <v>21</v>
      </c>
      <c r="K2232">
        <v>6</v>
      </c>
      <c r="L2232" t="s">
        <v>35</v>
      </c>
      <c r="M2232">
        <v>708</v>
      </c>
    </row>
    <row r="2233" spans="1:13">
      <c r="A2233">
        <v>2227</v>
      </c>
      <c r="B2233">
        <v>113455</v>
      </c>
      <c r="C2233" t="s">
        <v>4992</v>
      </c>
      <c r="D2233" t="s">
        <v>180</v>
      </c>
      <c r="E2233" t="s">
        <v>4993</v>
      </c>
      <c r="F2233" t="str">
        <f>"201601000458"</f>
        <v>201601000458</v>
      </c>
      <c r="G2233" t="s">
        <v>371</v>
      </c>
      <c r="H2233" t="s">
        <v>20</v>
      </c>
      <c r="I2233">
        <v>1526</v>
      </c>
      <c r="J2233" t="s">
        <v>21</v>
      </c>
      <c r="K2233">
        <v>0</v>
      </c>
      <c r="L2233" t="s">
        <v>88</v>
      </c>
      <c r="M2233">
        <v>425</v>
      </c>
    </row>
    <row r="2234" spans="1:13">
      <c r="A2234">
        <v>2228</v>
      </c>
      <c r="B2234">
        <v>89279</v>
      </c>
      <c r="C2234" t="s">
        <v>4994</v>
      </c>
      <c r="D2234" t="s">
        <v>76</v>
      </c>
      <c r="E2234" t="s">
        <v>4995</v>
      </c>
      <c r="F2234" t="str">
        <f>"00385518"</f>
        <v>00385518</v>
      </c>
      <c r="G2234" t="s">
        <v>606</v>
      </c>
      <c r="H2234" t="s">
        <v>607</v>
      </c>
      <c r="I2234">
        <v>1343</v>
      </c>
      <c r="J2234" t="s">
        <v>21</v>
      </c>
      <c r="K2234">
        <v>0</v>
      </c>
      <c r="L2234" t="s">
        <v>35</v>
      </c>
      <c r="M2234">
        <v>1208</v>
      </c>
    </row>
    <row r="2235" spans="1:13">
      <c r="A2235">
        <v>2229</v>
      </c>
      <c r="B2235">
        <v>93363</v>
      </c>
      <c r="C2235" t="s">
        <v>4996</v>
      </c>
      <c r="D2235" t="s">
        <v>121</v>
      </c>
      <c r="E2235" t="s">
        <v>4997</v>
      </c>
      <c r="F2235" t="str">
        <f>"00230184"</f>
        <v>00230184</v>
      </c>
      <c r="G2235" t="s">
        <v>211</v>
      </c>
      <c r="H2235" t="s">
        <v>48</v>
      </c>
      <c r="I2235">
        <v>1628</v>
      </c>
      <c r="J2235" t="s">
        <v>21</v>
      </c>
      <c r="K2235">
        <v>0</v>
      </c>
      <c r="M2235">
        <v>1328</v>
      </c>
    </row>
    <row r="2236" spans="1:13">
      <c r="A2236">
        <v>2230</v>
      </c>
      <c r="B2236">
        <v>115251</v>
      </c>
      <c r="C2236" t="s">
        <v>4998</v>
      </c>
      <c r="D2236" t="s">
        <v>238</v>
      </c>
      <c r="E2236" t="s">
        <v>4999</v>
      </c>
      <c r="F2236" t="str">
        <f>"00418943"</f>
        <v>00418943</v>
      </c>
      <c r="G2236" t="s">
        <v>19</v>
      </c>
      <c r="H2236" t="s">
        <v>20</v>
      </c>
      <c r="I2236">
        <v>1531</v>
      </c>
      <c r="J2236" t="s">
        <v>21</v>
      </c>
      <c r="K2236">
        <v>0</v>
      </c>
      <c r="M2236">
        <v>1600</v>
      </c>
    </row>
    <row r="2237" spans="1:13">
      <c r="A2237">
        <v>2231</v>
      </c>
      <c r="B2237">
        <v>100102</v>
      </c>
      <c r="C2237" t="s">
        <v>5000</v>
      </c>
      <c r="D2237" t="s">
        <v>198</v>
      </c>
      <c r="E2237" t="s">
        <v>5001</v>
      </c>
      <c r="F2237" t="str">
        <f>"00069921"</f>
        <v>00069921</v>
      </c>
      <c r="G2237" t="s">
        <v>299</v>
      </c>
      <c r="H2237" t="s">
        <v>20</v>
      </c>
      <c r="I2237">
        <v>1490</v>
      </c>
      <c r="J2237" t="s">
        <v>21</v>
      </c>
      <c r="K2237">
        <v>0</v>
      </c>
      <c r="M2237">
        <v>1413</v>
      </c>
    </row>
    <row r="2238" spans="1:13">
      <c r="A2238">
        <v>2232</v>
      </c>
      <c r="B2238">
        <v>102553</v>
      </c>
      <c r="C2238" t="s">
        <v>5002</v>
      </c>
      <c r="D2238" t="s">
        <v>1327</v>
      </c>
      <c r="E2238" t="s">
        <v>5003</v>
      </c>
      <c r="F2238" t="str">
        <f>"00372198"</f>
        <v>00372198</v>
      </c>
      <c r="G2238" t="s">
        <v>3395</v>
      </c>
      <c r="H2238" t="s">
        <v>274</v>
      </c>
      <c r="I2238">
        <v>1388</v>
      </c>
      <c r="J2238" t="s">
        <v>21</v>
      </c>
      <c r="K2238">
        <v>6</v>
      </c>
      <c r="M2238">
        <v>1178</v>
      </c>
    </row>
    <row r="2239" spans="1:13">
      <c r="A2239">
        <v>2233</v>
      </c>
      <c r="B2239">
        <v>86505</v>
      </c>
      <c r="C2239" t="s">
        <v>5004</v>
      </c>
      <c r="D2239" t="s">
        <v>80</v>
      </c>
      <c r="E2239" t="s">
        <v>5005</v>
      </c>
      <c r="F2239" t="str">
        <f>"00323169"</f>
        <v>00323169</v>
      </c>
      <c r="G2239" t="s">
        <v>47</v>
      </c>
      <c r="H2239" t="s">
        <v>48</v>
      </c>
      <c r="I2239">
        <v>1623</v>
      </c>
      <c r="J2239" t="s">
        <v>21</v>
      </c>
      <c r="K2239">
        <v>0</v>
      </c>
      <c r="L2239" t="s">
        <v>35</v>
      </c>
      <c r="M2239">
        <v>870</v>
      </c>
    </row>
    <row r="2240" spans="1:13">
      <c r="A2240">
        <v>2234</v>
      </c>
      <c r="B2240">
        <v>113400</v>
      </c>
      <c r="C2240" t="s">
        <v>5006</v>
      </c>
      <c r="D2240" t="s">
        <v>76</v>
      </c>
      <c r="E2240" t="s">
        <v>5007</v>
      </c>
      <c r="F2240" t="str">
        <f>"00416992"</f>
        <v>00416992</v>
      </c>
      <c r="G2240" t="s">
        <v>38</v>
      </c>
      <c r="H2240" t="s">
        <v>39</v>
      </c>
      <c r="I2240">
        <v>1634</v>
      </c>
      <c r="J2240" t="s">
        <v>21</v>
      </c>
      <c r="K2240">
        <v>6</v>
      </c>
      <c r="L2240" t="s">
        <v>35</v>
      </c>
      <c r="M2240">
        <v>783</v>
      </c>
    </row>
    <row r="2241" spans="1:13">
      <c r="A2241">
        <v>2235</v>
      </c>
      <c r="B2241">
        <v>99630</v>
      </c>
      <c r="C2241" t="s">
        <v>5008</v>
      </c>
      <c r="D2241" t="s">
        <v>98</v>
      </c>
      <c r="E2241" t="s">
        <v>5009</v>
      </c>
      <c r="F2241" t="str">
        <f>"201507000774"</f>
        <v>201507000774</v>
      </c>
      <c r="G2241" t="s">
        <v>1509</v>
      </c>
      <c r="H2241" t="s">
        <v>366</v>
      </c>
      <c r="I2241">
        <v>1695</v>
      </c>
      <c r="J2241" t="s">
        <v>21</v>
      </c>
      <c r="K2241">
        <v>6</v>
      </c>
      <c r="M2241">
        <v>1528</v>
      </c>
    </row>
    <row r="2242" spans="1:13">
      <c r="A2242">
        <v>2236</v>
      </c>
      <c r="B2242">
        <v>101110</v>
      </c>
      <c r="C2242" t="s">
        <v>5010</v>
      </c>
      <c r="D2242" t="s">
        <v>105</v>
      </c>
      <c r="E2242" t="s">
        <v>5011</v>
      </c>
      <c r="F2242" t="str">
        <f>"00304252"</f>
        <v>00304252</v>
      </c>
      <c r="G2242" t="s">
        <v>82</v>
      </c>
      <c r="H2242" t="s">
        <v>20</v>
      </c>
      <c r="I2242">
        <v>1475</v>
      </c>
      <c r="J2242" t="s">
        <v>21</v>
      </c>
      <c r="K2242">
        <v>0</v>
      </c>
      <c r="M2242">
        <v>1388</v>
      </c>
    </row>
    <row r="2243" spans="1:13">
      <c r="A2243">
        <v>2237</v>
      </c>
      <c r="B2243">
        <v>58315</v>
      </c>
      <c r="C2243" t="s">
        <v>5012</v>
      </c>
      <c r="D2243" t="s">
        <v>121</v>
      </c>
      <c r="E2243" t="s">
        <v>5013</v>
      </c>
      <c r="F2243" t="str">
        <f>"00383443"</f>
        <v>00383443</v>
      </c>
      <c r="G2243" t="s">
        <v>107</v>
      </c>
      <c r="H2243" t="s">
        <v>20</v>
      </c>
      <c r="I2243">
        <v>1472</v>
      </c>
      <c r="J2243" t="s">
        <v>21</v>
      </c>
      <c r="K2243">
        <v>0</v>
      </c>
      <c r="L2243" t="s">
        <v>35</v>
      </c>
      <c r="M2243">
        <v>920</v>
      </c>
    </row>
    <row r="2244" spans="1:13">
      <c r="A2244">
        <v>2238</v>
      </c>
      <c r="B2244">
        <v>64912</v>
      </c>
      <c r="C2244" t="s">
        <v>5014</v>
      </c>
      <c r="D2244" t="s">
        <v>243</v>
      </c>
      <c r="E2244" t="s">
        <v>5015</v>
      </c>
      <c r="F2244" t="str">
        <f>"00227945"</f>
        <v>00227945</v>
      </c>
      <c r="G2244" t="s">
        <v>2164</v>
      </c>
      <c r="H2244" t="s">
        <v>20</v>
      </c>
      <c r="I2244">
        <v>1495</v>
      </c>
      <c r="J2244" t="s">
        <v>21</v>
      </c>
      <c r="K2244">
        <v>6</v>
      </c>
      <c r="L2244" t="s">
        <v>35</v>
      </c>
      <c r="M2244">
        <v>1500</v>
      </c>
    </row>
    <row r="2245" spans="1:13">
      <c r="A2245">
        <v>2239</v>
      </c>
      <c r="B2245">
        <v>109340</v>
      </c>
      <c r="C2245" t="s">
        <v>5016</v>
      </c>
      <c r="D2245" t="s">
        <v>109</v>
      </c>
      <c r="E2245" t="s">
        <v>5017</v>
      </c>
      <c r="F2245" t="str">
        <f>"00410920"</f>
        <v>00410920</v>
      </c>
      <c r="G2245" t="s">
        <v>255</v>
      </c>
      <c r="H2245" t="s">
        <v>20</v>
      </c>
      <c r="I2245">
        <v>1513</v>
      </c>
      <c r="J2245" t="s">
        <v>21</v>
      </c>
      <c r="K2245">
        <v>6</v>
      </c>
      <c r="L2245" t="s">
        <v>88</v>
      </c>
      <c r="M2245">
        <v>700</v>
      </c>
    </row>
    <row r="2246" spans="1:13">
      <c r="A2246">
        <v>2240</v>
      </c>
      <c r="B2246">
        <v>66089</v>
      </c>
      <c r="C2246" t="s">
        <v>5018</v>
      </c>
      <c r="D2246" t="s">
        <v>180</v>
      </c>
      <c r="E2246" t="s">
        <v>5019</v>
      </c>
      <c r="F2246" t="str">
        <f>"00380926"</f>
        <v>00380926</v>
      </c>
      <c r="G2246" t="s">
        <v>67</v>
      </c>
      <c r="H2246" t="s">
        <v>20</v>
      </c>
      <c r="I2246">
        <v>1434</v>
      </c>
      <c r="J2246" t="s">
        <v>21</v>
      </c>
      <c r="K2246">
        <v>0</v>
      </c>
      <c r="L2246" t="s">
        <v>35</v>
      </c>
      <c r="M2246">
        <v>887</v>
      </c>
    </row>
    <row r="2247" spans="1:13">
      <c r="A2247">
        <v>2241</v>
      </c>
      <c r="B2247">
        <v>106858</v>
      </c>
      <c r="C2247" t="s">
        <v>5020</v>
      </c>
      <c r="D2247" t="s">
        <v>105</v>
      </c>
      <c r="E2247" t="s">
        <v>5021</v>
      </c>
      <c r="F2247" t="str">
        <f>"00404780"</f>
        <v>00404780</v>
      </c>
      <c r="G2247" t="s">
        <v>520</v>
      </c>
      <c r="H2247" t="s">
        <v>20</v>
      </c>
      <c r="I2247">
        <v>1540</v>
      </c>
      <c r="J2247" t="s">
        <v>21</v>
      </c>
      <c r="K2247">
        <v>0</v>
      </c>
      <c r="M2247">
        <v>1528</v>
      </c>
    </row>
    <row r="2248" spans="1:13">
      <c r="A2248">
        <v>2242</v>
      </c>
      <c r="B2248">
        <v>79814</v>
      </c>
      <c r="C2248" t="s">
        <v>5022</v>
      </c>
      <c r="D2248" t="s">
        <v>1675</v>
      </c>
      <c r="E2248" t="s">
        <v>5023</v>
      </c>
      <c r="F2248" t="str">
        <f>"201511020076"</f>
        <v>201511020076</v>
      </c>
      <c r="G2248" t="s">
        <v>371</v>
      </c>
      <c r="H2248" t="s">
        <v>20</v>
      </c>
      <c r="I2248">
        <v>1526</v>
      </c>
      <c r="J2248" t="s">
        <v>21</v>
      </c>
      <c r="K2248">
        <v>6</v>
      </c>
      <c r="M2248">
        <v>1038</v>
      </c>
    </row>
    <row r="2249" spans="1:13">
      <c r="A2249">
        <v>2243</v>
      </c>
      <c r="B2249">
        <v>59752</v>
      </c>
      <c r="C2249" t="s">
        <v>5024</v>
      </c>
      <c r="D2249" t="s">
        <v>76</v>
      </c>
      <c r="E2249" t="s">
        <v>5025</v>
      </c>
      <c r="F2249" t="str">
        <f>"00232176"</f>
        <v>00232176</v>
      </c>
      <c r="G2249" t="s">
        <v>233</v>
      </c>
      <c r="H2249" t="s">
        <v>234</v>
      </c>
      <c r="I2249">
        <v>1339</v>
      </c>
      <c r="J2249" t="s">
        <v>21</v>
      </c>
      <c r="K2249">
        <v>6</v>
      </c>
      <c r="M2249">
        <v>1028</v>
      </c>
    </row>
    <row r="2250" spans="1:13">
      <c r="A2250">
        <v>2244</v>
      </c>
      <c r="B2250">
        <v>95760</v>
      </c>
      <c r="C2250" t="s">
        <v>5026</v>
      </c>
      <c r="D2250" t="s">
        <v>209</v>
      </c>
      <c r="E2250" t="s">
        <v>5027</v>
      </c>
      <c r="F2250" t="str">
        <f>"00400416"</f>
        <v>00400416</v>
      </c>
      <c r="G2250" t="s">
        <v>233</v>
      </c>
      <c r="H2250" t="s">
        <v>2515</v>
      </c>
      <c r="I2250">
        <v>1349</v>
      </c>
      <c r="J2250" t="s">
        <v>21</v>
      </c>
      <c r="K2250">
        <v>6</v>
      </c>
      <c r="M2250">
        <v>1043</v>
      </c>
    </row>
    <row r="2251" spans="1:13">
      <c r="A2251">
        <v>2245</v>
      </c>
      <c r="B2251">
        <v>49959</v>
      </c>
      <c r="C2251" t="s">
        <v>5028</v>
      </c>
      <c r="D2251" t="s">
        <v>563</v>
      </c>
      <c r="E2251" t="s">
        <v>5029</v>
      </c>
      <c r="F2251" t="str">
        <f>"00373382"</f>
        <v>00373382</v>
      </c>
      <c r="G2251" t="s">
        <v>19</v>
      </c>
      <c r="H2251" t="s">
        <v>20</v>
      </c>
      <c r="I2251">
        <v>1531</v>
      </c>
      <c r="J2251" t="s">
        <v>21</v>
      </c>
      <c r="K2251">
        <v>0</v>
      </c>
      <c r="L2251" t="s">
        <v>35</v>
      </c>
      <c r="M2251">
        <v>913</v>
      </c>
    </row>
    <row r="2252" spans="1:13">
      <c r="A2252">
        <v>2246</v>
      </c>
      <c r="B2252">
        <v>48717</v>
      </c>
      <c r="C2252" t="s">
        <v>5030</v>
      </c>
      <c r="D2252" t="s">
        <v>105</v>
      </c>
      <c r="E2252" t="s">
        <v>5031</v>
      </c>
      <c r="F2252" t="str">
        <f>"201504001102"</f>
        <v>201504001102</v>
      </c>
      <c r="G2252" t="s">
        <v>211</v>
      </c>
      <c r="H2252" t="s">
        <v>48</v>
      </c>
      <c r="I2252">
        <v>1628</v>
      </c>
      <c r="J2252" t="s">
        <v>21</v>
      </c>
      <c r="K2252">
        <v>0</v>
      </c>
      <c r="L2252" t="s">
        <v>35</v>
      </c>
      <c r="M2252">
        <v>879</v>
      </c>
    </row>
    <row r="2253" spans="1:13">
      <c r="A2253">
        <v>2247</v>
      </c>
      <c r="B2253">
        <v>61302</v>
      </c>
      <c r="C2253" t="s">
        <v>5032</v>
      </c>
      <c r="D2253" t="s">
        <v>373</v>
      </c>
      <c r="E2253" t="s">
        <v>5033</v>
      </c>
      <c r="F2253" t="str">
        <f>"00252132"</f>
        <v>00252132</v>
      </c>
      <c r="G2253" t="s">
        <v>5034</v>
      </c>
      <c r="H2253" t="s">
        <v>20</v>
      </c>
      <c r="I2253">
        <v>1554</v>
      </c>
      <c r="J2253" t="s">
        <v>21</v>
      </c>
      <c r="K2253">
        <v>6</v>
      </c>
      <c r="M2253">
        <v>1068</v>
      </c>
    </row>
    <row r="2254" spans="1:13">
      <c r="A2254">
        <v>2248</v>
      </c>
      <c r="B2254">
        <v>96637</v>
      </c>
      <c r="C2254" t="s">
        <v>5035</v>
      </c>
      <c r="D2254" t="s">
        <v>76</v>
      </c>
      <c r="E2254" t="s">
        <v>5036</v>
      </c>
      <c r="F2254" t="str">
        <f>"00387567"</f>
        <v>00387567</v>
      </c>
      <c r="G2254" t="s">
        <v>856</v>
      </c>
      <c r="H2254" t="s">
        <v>366</v>
      </c>
      <c r="I2254">
        <v>1706</v>
      </c>
      <c r="J2254" t="s">
        <v>21</v>
      </c>
      <c r="K2254">
        <v>0</v>
      </c>
      <c r="L2254" t="s">
        <v>35</v>
      </c>
      <c r="M2254">
        <v>900</v>
      </c>
    </row>
    <row r="2255" spans="1:13">
      <c r="A2255">
        <v>2249</v>
      </c>
      <c r="B2255">
        <v>99542</v>
      </c>
      <c r="C2255" t="s">
        <v>5037</v>
      </c>
      <c r="D2255" t="s">
        <v>76</v>
      </c>
      <c r="E2255" t="s">
        <v>5038</v>
      </c>
      <c r="F2255" t="str">
        <f>"00075759"</f>
        <v>00075759</v>
      </c>
      <c r="G2255" t="s">
        <v>375</v>
      </c>
      <c r="H2255" t="s">
        <v>20</v>
      </c>
      <c r="I2255">
        <v>1516</v>
      </c>
      <c r="J2255" t="s">
        <v>21</v>
      </c>
      <c r="K2255">
        <v>0</v>
      </c>
      <c r="M2255">
        <v>1539</v>
      </c>
    </row>
    <row r="2256" spans="1:13">
      <c r="A2256">
        <v>2250</v>
      </c>
      <c r="B2256">
        <v>68261</v>
      </c>
      <c r="C2256" t="s">
        <v>5039</v>
      </c>
      <c r="D2256" t="s">
        <v>180</v>
      </c>
      <c r="E2256" t="s">
        <v>5040</v>
      </c>
      <c r="F2256" t="str">
        <f>"00377328"</f>
        <v>00377328</v>
      </c>
      <c r="G2256" t="s">
        <v>111</v>
      </c>
      <c r="H2256" t="s">
        <v>48</v>
      </c>
      <c r="I2256">
        <v>1620</v>
      </c>
      <c r="J2256" t="s">
        <v>21</v>
      </c>
      <c r="K2256">
        <v>0</v>
      </c>
      <c r="M2256">
        <v>1328</v>
      </c>
    </row>
    <row r="2257" spans="1:13">
      <c r="A2257">
        <v>2251</v>
      </c>
      <c r="B2257">
        <v>69662</v>
      </c>
      <c r="C2257" t="s">
        <v>5041</v>
      </c>
      <c r="D2257" t="s">
        <v>700</v>
      </c>
      <c r="E2257" t="s">
        <v>5042</v>
      </c>
      <c r="F2257" t="str">
        <f>"00316816"</f>
        <v>00316816</v>
      </c>
      <c r="G2257" t="s">
        <v>341</v>
      </c>
      <c r="H2257" t="s">
        <v>20</v>
      </c>
      <c r="I2257">
        <v>1553</v>
      </c>
      <c r="J2257" t="s">
        <v>21</v>
      </c>
      <c r="K2257">
        <v>6</v>
      </c>
      <c r="L2257" t="s">
        <v>88</v>
      </c>
      <c r="M2257">
        <v>708</v>
      </c>
    </row>
    <row r="2258" spans="1:13">
      <c r="A2258">
        <v>2252</v>
      </c>
      <c r="B2258">
        <v>107632</v>
      </c>
      <c r="C2258" t="s">
        <v>5043</v>
      </c>
      <c r="D2258" t="s">
        <v>243</v>
      </c>
      <c r="E2258" t="s">
        <v>5044</v>
      </c>
      <c r="F2258" t="str">
        <f>"00415448"</f>
        <v>00415448</v>
      </c>
      <c r="G2258" t="s">
        <v>1245</v>
      </c>
      <c r="H2258" t="s">
        <v>20</v>
      </c>
      <c r="I2258">
        <v>1527</v>
      </c>
      <c r="J2258" t="s">
        <v>21</v>
      </c>
      <c r="K2258">
        <v>0</v>
      </c>
      <c r="M2258">
        <v>1398</v>
      </c>
    </row>
    <row r="2259" spans="1:13">
      <c r="A2259">
        <v>2253</v>
      </c>
      <c r="B2259">
        <v>112829</v>
      </c>
      <c r="C2259" t="s">
        <v>5045</v>
      </c>
      <c r="D2259" t="s">
        <v>198</v>
      </c>
      <c r="E2259" t="s">
        <v>5046</v>
      </c>
      <c r="F2259" t="str">
        <f>"00334912"</f>
        <v>00334912</v>
      </c>
      <c r="G2259" t="s">
        <v>1160</v>
      </c>
      <c r="H2259" t="s">
        <v>20</v>
      </c>
      <c r="I2259">
        <v>1424</v>
      </c>
      <c r="J2259" t="s">
        <v>21</v>
      </c>
      <c r="K2259">
        <v>0</v>
      </c>
      <c r="L2259" t="s">
        <v>83</v>
      </c>
      <c r="M2259">
        <v>1475</v>
      </c>
    </row>
    <row r="2260" spans="1:13">
      <c r="A2260">
        <v>2254</v>
      </c>
      <c r="B2260">
        <v>105620</v>
      </c>
      <c r="C2260" t="s">
        <v>5047</v>
      </c>
      <c r="D2260" t="s">
        <v>98</v>
      </c>
      <c r="E2260" t="s">
        <v>5048</v>
      </c>
      <c r="F2260" t="str">
        <f>"00401672"</f>
        <v>00401672</v>
      </c>
      <c r="G2260" t="s">
        <v>230</v>
      </c>
      <c r="H2260" t="s">
        <v>20</v>
      </c>
      <c r="I2260">
        <v>1545</v>
      </c>
      <c r="J2260" t="s">
        <v>21</v>
      </c>
      <c r="K2260">
        <v>0</v>
      </c>
      <c r="M2260">
        <v>1728</v>
      </c>
    </row>
    <row r="2261" spans="1:13">
      <c r="A2261">
        <v>2255</v>
      </c>
      <c r="B2261">
        <v>102981</v>
      </c>
      <c r="C2261" t="s">
        <v>5049</v>
      </c>
      <c r="D2261" t="s">
        <v>80</v>
      </c>
      <c r="E2261" t="s">
        <v>5050</v>
      </c>
      <c r="F2261" t="str">
        <f>"00386691"</f>
        <v>00386691</v>
      </c>
      <c r="G2261" t="s">
        <v>1442</v>
      </c>
      <c r="H2261" t="s">
        <v>274</v>
      </c>
      <c r="I2261">
        <v>1390</v>
      </c>
      <c r="J2261" t="s">
        <v>21</v>
      </c>
      <c r="K2261">
        <v>7</v>
      </c>
      <c r="M2261">
        <v>1215</v>
      </c>
    </row>
    <row r="2262" spans="1:13">
      <c r="A2262">
        <v>2256</v>
      </c>
      <c r="B2262">
        <v>77302</v>
      </c>
      <c r="C2262" t="s">
        <v>5051</v>
      </c>
      <c r="D2262" t="s">
        <v>205</v>
      </c>
      <c r="E2262" t="s">
        <v>5052</v>
      </c>
      <c r="F2262" t="str">
        <f>"00286284"</f>
        <v>00286284</v>
      </c>
      <c r="G2262" t="s">
        <v>19</v>
      </c>
      <c r="H2262" t="s">
        <v>20</v>
      </c>
      <c r="I2262">
        <v>1531</v>
      </c>
      <c r="J2262" t="s">
        <v>21</v>
      </c>
      <c r="K2262">
        <v>0</v>
      </c>
      <c r="M2262">
        <v>1528</v>
      </c>
    </row>
    <row r="2263" spans="1:13">
      <c r="A2263">
        <v>2257</v>
      </c>
      <c r="B2263">
        <v>78213</v>
      </c>
      <c r="C2263" t="s">
        <v>5053</v>
      </c>
      <c r="D2263" t="s">
        <v>267</v>
      </c>
      <c r="E2263" t="s">
        <v>5054</v>
      </c>
      <c r="F2263" t="str">
        <f>"00081894"</f>
        <v>00081894</v>
      </c>
      <c r="G2263" t="s">
        <v>1445</v>
      </c>
      <c r="H2263" t="s">
        <v>535</v>
      </c>
      <c r="I2263">
        <v>1665</v>
      </c>
      <c r="J2263" t="s">
        <v>21</v>
      </c>
      <c r="K2263">
        <v>6</v>
      </c>
      <c r="L2263" t="s">
        <v>59</v>
      </c>
      <c r="M2263">
        <v>738</v>
      </c>
    </row>
    <row r="2264" spans="1:13">
      <c r="A2264">
        <v>2258</v>
      </c>
      <c r="B2264">
        <v>61934</v>
      </c>
      <c r="C2264" t="s">
        <v>5055</v>
      </c>
      <c r="D2264" t="s">
        <v>914</v>
      </c>
      <c r="E2264" t="s">
        <v>5056</v>
      </c>
      <c r="F2264" t="str">
        <f>"00323656"</f>
        <v>00323656</v>
      </c>
      <c r="G2264" t="s">
        <v>211</v>
      </c>
      <c r="H2264" t="s">
        <v>20</v>
      </c>
      <c r="I2264">
        <v>1539</v>
      </c>
      <c r="J2264" t="s">
        <v>21</v>
      </c>
      <c r="K2264">
        <v>0</v>
      </c>
      <c r="M2264">
        <v>1588</v>
      </c>
    </row>
    <row r="2265" spans="1:13">
      <c r="A2265">
        <v>2259</v>
      </c>
      <c r="B2265">
        <v>54349</v>
      </c>
      <c r="C2265" t="s">
        <v>5057</v>
      </c>
      <c r="D2265" t="s">
        <v>76</v>
      </c>
      <c r="E2265" t="s">
        <v>5058</v>
      </c>
      <c r="F2265" t="str">
        <f>"00070134"</f>
        <v>00070134</v>
      </c>
      <c r="G2265" t="s">
        <v>278</v>
      </c>
      <c r="H2265" t="s">
        <v>20</v>
      </c>
      <c r="I2265">
        <v>1441</v>
      </c>
      <c r="J2265" t="s">
        <v>21</v>
      </c>
      <c r="K2265">
        <v>0</v>
      </c>
      <c r="L2265" t="s">
        <v>35</v>
      </c>
      <c r="M2265">
        <v>1060</v>
      </c>
    </row>
    <row r="2266" spans="1:13">
      <c r="A2266">
        <v>2260</v>
      </c>
      <c r="B2266">
        <v>59420</v>
      </c>
      <c r="C2266" t="s">
        <v>5059</v>
      </c>
      <c r="D2266" t="s">
        <v>105</v>
      </c>
      <c r="E2266" t="s">
        <v>5060</v>
      </c>
      <c r="F2266" t="str">
        <f>"00257661"</f>
        <v>00257661</v>
      </c>
      <c r="G2266" t="s">
        <v>704</v>
      </c>
      <c r="H2266" t="s">
        <v>308</v>
      </c>
      <c r="I2266">
        <v>1590</v>
      </c>
      <c r="J2266" t="s">
        <v>21</v>
      </c>
      <c r="K2266">
        <v>6</v>
      </c>
      <c r="M2266">
        <v>1738</v>
      </c>
    </row>
    <row r="2267" spans="1:13">
      <c r="A2267">
        <v>2261</v>
      </c>
      <c r="B2267">
        <v>105349</v>
      </c>
      <c r="C2267" t="s">
        <v>5061</v>
      </c>
      <c r="D2267" t="s">
        <v>145</v>
      </c>
      <c r="E2267" t="s">
        <v>5062</v>
      </c>
      <c r="F2267" t="str">
        <f>"00407162"</f>
        <v>00407162</v>
      </c>
      <c r="G2267" t="s">
        <v>150</v>
      </c>
      <c r="H2267" t="s">
        <v>151</v>
      </c>
      <c r="I2267">
        <v>1699</v>
      </c>
      <c r="J2267" t="s">
        <v>21</v>
      </c>
      <c r="K2267">
        <v>0</v>
      </c>
      <c r="L2267" t="s">
        <v>59</v>
      </c>
      <c r="M2267">
        <v>1013</v>
      </c>
    </row>
    <row r="2268" spans="1:13">
      <c r="A2268">
        <v>2262</v>
      </c>
      <c r="B2268">
        <v>95019</v>
      </c>
      <c r="C2268" t="s">
        <v>5063</v>
      </c>
      <c r="D2268" t="s">
        <v>109</v>
      </c>
      <c r="E2268" t="s">
        <v>5064</v>
      </c>
      <c r="F2268" t="str">
        <f>"00399035"</f>
        <v>00399035</v>
      </c>
      <c r="G2268" t="s">
        <v>2322</v>
      </c>
      <c r="H2268" t="s">
        <v>1610</v>
      </c>
      <c r="I2268">
        <v>1310</v>
      </c>
      <c r="J2268" t="s">
        <v>21</v>
      </c>
      <c r="K2268">
        <v>0</v>
      </c>
      <c r="L2268" t="s">
        <v>35</v>
      </c>
      <c r="M2268">
        <v>1284</v>
      </c>
    </row>
    <row r="2269" spans="1:13">
      <c r="A2269">
        <v>2263</v>
      </c>
      <c r="B2269">
        <v>106344</v>
      </c>
      <c r="C2269" t="s">
        <v>5065</v>
      </c>
      <c r="D2269" t="s">
        <v>180</v>
      </c>
      <c r="E2269" t="s">
        <v>5066</v>
      </c>
      <c r="F2269" t="str">
        <f>"00382281"</f>
        <v>00382281</v>
      </c>
      <c r="G2269" t="s">
        <v>111</v>
      </c>
      <c r="H2269" t="s">
        <v>48</v>
      </c>
      <c r="I2269">
        <v>1620</v>
      </c>
      <c r="J2269" t="s">
        <v>21</v>
      </c>
      <c r="K2269">
        <v>0</v>
      </c>
      <c r="L2269" t="s">
        <v>35</v>
      </c>
      <c r="M2269">
        <v>908</v>
      </c>
    </row>
    <row r="2270" spans="1:13">
      <c r="A2270">
        <v>2264</v>
      </c>
      <c r="B2270">
        <v>53307</v>
      </c>
      <c r="C2270" t="s">
        <v>5067</v>
      </c>
      <c r="D2270" t="s">
        <v>76</v>
      </c>
      <c r="E2270" t="s">
        <v>5068</v>
      </c>
      <c r="F2270" t="str">
        <f>"00357985"</f>
        <v>00357985</v>
      </c>
      <c r="G2270" t="s">
        <v>1764</v>
      </c>
      <c r="H2270" t="s">
        <v>20</v>
      </c>
      <c r="I2270">
        <v>1532</v>
      </c>
      <c r="J2270" t="s">
        <v>21</v>
      </c>
      <c r="K2270">
        <v>0</v>
      </c>
      <c r="L2270" t="s">
        <v>88</v>
      </c>
      <c r="M2270">
        <v>475</v>
      </c>
    </row>
    <row r="2271" spans="1:13">
      <c r="A2271">
        <v>2265</v>
      </c>
      <c r="B2271">
        <v>89883</v>
      </c>
      <c r="C2271" t="s">
        <v>5069</v>
      </c>
      <c r="D2271" t="s">
        <v>373</v>
      </c>
      <c r="E2271" t="s">
        <v>5070</v>
      </c>
      <c r="F2271" t="str">
        <f>"00399648"</f>
        <v>00399648</v>
      </c>
      <c r="G2271" t="s">
        <v>446</v>
      </c>
      <c r="H2271" t="s">
        <v>137</v>
      </c>
      <c r="I2271">
        <v>1602</v>
      </c>
      <c r="J2271" t="s">
        <v>21</v>
      </c>
      <c r="K2271">
        <v>0</v>
      </c>
      <c r="M2271">
        <v>1445</v>
      </c>
    </row>
    <row r="2272" spans="1:13">
      <c r="A2272">
        <v>2266</v>
      </c>
      <c r="B2272">
        <v>86640</v>
      </c>
      <c r="C2272" t="s">
        <v>5071</v>
      </c>
      <c r="D2272" t="s">
        <v>121</v>
      </c>
      <c r="E2272" t="s">
        <v>5072</v>
      </c>
      <c r="F2272" t="str">
        <f>"200712003851"</f>
        <v>200712003851</v>
      </c>
      <c r="G2272" t="s">
        <v>38</v>
      </c>
      <c r="H2272" t="s">
        <v>39</v>
      </c>
      <c r="I2272">
        <v>1634</v>
      </c>
      <c r="J2272" t="s">
        <v>21</v>
      </c>
      <c r="K2272">
        <v>6</v>
      </c>
      <c r="L2272" t="s">
        <v>59</v>
      </c>
      <c r="M2272">
        <v>510</v>
      </c>
    </row>
    <row r="2273" spans="1:13">
      <c r="A2273">
        <v>2267</v>
      </c>
      <c r="B2273">
        <v>54556</v>
      </c>
      <c r="C2273" t="s">
        <v>5073</v>
      </c>
      <c r="D2273" t="s">
        <v>238</v>
      </c>
      <c r="E2273" t="s">
        <v>5074</v>
      </c>
      <c r="F2273" t="str">
        <f>"00223495"</f>
        <v>00223495</v>
      </c>
      <c r="G2273" t="s">
        <v>107</v>
      </c>
      <c r="H2273" t="s">
        <v>20</v>
      </c>
      <c r="I2273">
        <v>1472</v>
      </c>
      <c r="J2273" t="s">
        <v>21</v>
      </c>
      <c r="K2273">
        <v>0</v>
      </c>
      <c r="L2273" t="s">
        <v>59</v>
      </c>
      <c r="M2273">
        <v>1128</v>
      </c>
    </row>
    <row r="2274" spans="1:13">
      <c r="A2274">
        <v>2268</v>
      </c>
      <c r="B2274">
        <v>89228</v>
      </c>
      <c r="C2274" t="s">
        <v>5075</v>
      </c>
      <c r="D2274" t="s">
        <v>76</v>
      </c>
      <c r="E2274" t="s">
        <v>5076</v>
      </c>
      <c r="F2274" t="str">
        <f>"00207297"</f>
        <v>00207297</v>
      </c>
      <c r="G2274" t="s">
        <v>107</v>
      </c>
      <c r="H2274" t="s">
        <v>20</v>
      </c>
      <c r="I2274">
        <v>1472</v>
      </c>
      <c r="J2274" t="s">
        <v>21</v>
      </c>
      <c r="K2274">
        <v>0</v>
      </c>
      <c r="L2274" t="s">
        <v>88</v>
      </c>
      <c r="M2274">
        <v>600</v>
      </c>
    </row>
    <row r="2275" spans="1:13">
      <c r="A2275">
        <v>2269</v>
      </c>
      <c r="B2275">
        <v>60292</v>
      </c>
      <c r="C2275" t="s">
        <v>5077</v>
      </c>
      <c r="D2275" t="s">
        <v>80</v>
      </c>
      <c r="E2275" t="s">
        <v>5078</v>
      </c>
      <c r="F2275" t="str">
        <f>"00381990"</f>
        <v>00381990</v>
      </c>
      <c r="G2275" t="s">
        <v>437</v>
      </c>
      <c r="H2275" t="s">
        <v>20</v>
      </c>
      <c r="I2275">
        <v>1407</v>
      </c>
      <c r="J2275" t="s">
        <v>21</v>
      </c>
      <c r="K2275">
        <v>0</v>
      </c>
      <c r="M2275">
        <v>1571</v>
      </c>
    </row>
    <row r="2276" spans="1:13">
      <c r="A2276">
        <v>2270</v>
      </c>
      <c r="B2276">
        <v>84380</v>
      </c>
      <c r="C2276" t="s">
        <v>5079</v>
      </c>
      <c r="D2276" t="s">
        <v>80</v>
      </c>
      <c r="E2276" t="s">
        <v>5080</v>
      </c>
      <c r="F2276" t="str">
        <f>"201507004606"</f>
        <v>201507004606</v>
      </c>
      <c r="G2276" t="s">
        <v>1084</v>
      </c>
      <c r="H2276" t="s">
        <v>1085</v>
      </c>
      <c r="I2276">
        <v>1588</v>
      </c>
      <c r="J2276" t="s">
        <v>21</v>
      </c>
      <c r="K2276">
        <v>0</v>
      </c>
      <c r="L2276" t="s">
        <v>35</v>
      </c>
      <c r="M2276">
        <v>872</v>
      </c>
    </row>
    <row r="2277" spans="1:13">
      <c r="A2277">
        <v>2271</v>
      </c>
      <c r="B2277">
        <v>94612</v>
      </c>
      <c r="C2277" t="s">
        <v>5081</v>
      </c>
      <c r="D2277" t="s">
        <v>80</v>
      </c>
      <c r="E2277" t="s">
        <v>5082</v>
      </c>
      <c r="F2277" t="str">
        <f>"00328159"</f>
        <v>00328159</v>
      </c>
      <c r="G2277" t="s">
        <v>437</v>
      </c>
      <c r="H2277" t="s">
        <v>20</v>
      </c>
      <c r="I2277">
        <v>1407</v>
      </c>
      <c r="J2277" t="s">
        <v>21</v>
      </c>
      <c r="K2277">
        <v>0</v>
      </c>
      <c r="L2277" t="s">
        <v>35</v>
      </c>
      <c r="M2277">
        <v>1100</v>
      </c>
    </row>
    <row r="2278" spans="1:13">
      <c r="A2278">
        <v>2272</v>
      </c>
      <c r="B2278">
        <v>114413</v>
      </c>
      <c r="C2278" t="s">
        <v>5083</v>
      </c>
      <c r="D2278" t="s">
        <v>566</v>
      </c>
      <c r="E2278" t="s">
        <v>5084</v>
      </c>
      <c r="F2278" t="str">
        <f>"200910000064"</f>
        <v>200910000064</v>
      </c>
      <c r="G2278" t="s">
        <v>724</v>
      </c>
      <c r="H2278" t="s">
        <v>20</v>
      </c>
      <c r="I2278">
        <v>1411</v>
      </c>
      <c r="J2278" t="s">
        <v>21</v>
      </c>
      <c r="K2278">
        <v>0</v>
      </c>
      <c r="L2278" t="s">
        <v>35</v>
      </c>
      <c r="M2278">
        <v>1040</v>
      </c>
    </row>
    <row r="2279" spans="1:13">
      <c r="A2279">
        <v>2273</v>
      </c>
      <c r="B2279">
        <v>47718</v>
      </c>
      <c r="C2279" t="s">
        <v>5085</v>
      </c>
      <c r="D2279" t="s">
        <v>249</v>
      </c>
      <c r="E2279" t="s">
        <v>5086</v>
      </c>
      <c r="F2279" t="str">
        <f>"00367683"</f>
        <v>00367683</v>
      </c>
      <c r="G2279" t="s">
        <v>358</v>
      </c>
      <c r="H2279" t="s">
        <v>20</v>
      </c>
      <c r="I2279">
        <v>1549</v>
      </c>
      <c r="J2279" t="s">
        <v>21</v>
      </c>
      <c r="K2279">
        <v>0</v>
      </c>
      <c r="L2279" t="s">
        <v>35</v>
      </c>
      <c r="M2279">
        <v>970</v>
      </c>
    </row>
    <row r="2280" spans="1:13">
      <c r="A2280">
        <v>2274</v>
      </c>
      <c r="B2280">
        <v>56604</v>
      </c>
      <c r="C2280" t="s">
        <v>5087</v>
      </c>
      <c r="D2280" t="s">
        <v>76</v>
      </c>
      <c r="E2280" t="s">
        <v>5088</v>
      </c>
      <c r="F2280" t="str">
        <f>"00361308"</f>
        <v>00361308</v>
      </c>
      <c r="G2280" t="s">
        <v>245</v>
      </c>
      <c r="H2280" t="s">
        <v>20</v>
      </c>
      <c r="I2280">
        <v>1406</v>
      </c>
      <c r="J2280" t="s">
        <v>21</v>
      </c>
      <c r="K2280">
        <v>0</v>
      </c>
      <c r="L2280" t="s">
        <v>35</v>
      </c>
      <c r="M2280">
        <v>936</v>
      </c>
    </row>
    <row r="2281" spans="1:13">
      <c r="A2281">
        <v>2275</v>
      </c>
      <c r="B2281">
        <v>51612</v>
      </c>
      <c r="C2281" t="s">
        <v>5089</v>
      </c>
      <c r="D2281" t="s">
        <v>121</v>
      </c>
      <c r="E2281" t="s">
        <v>5090</v>
      </c>
      <c r="F2281" t="str">
        <f>"00349917"</f>
        <v>00349917</v>
      </c>
      <c r="G2281" t="s">
        <v>610</v>
      </c>
      <c r="H2281" t="s">
        <v>20</v>
      </c>
      <c r="I2281">
        <v>1429</v>
      </c>
      <c r="J2281" t="s">
        <v>21</v>
      </c>
      <c r="K2281">
        <v>0</v>
      </c>
      <c r="M2281">
        <v>1428</v>
      </c>
    </row>
    <row r="2282" spans="1:13">
      <c r="A2282">
        <v>2276</v>
      </c>
      <c r="B2282">
        <v>94718</v>
      </c>
      <c r="C2282" t="s">
        <v>5091</v>
      </c>
      <c r="D2282" t="s">
        <v>566</v>
      </c>
      <c r="E2282" t="s">
        <v>5092</v>
      </c>
      <c r="F2282" t="str">
        <f>"00287920"</f>
        <v>00287920</v>
      </c>
      <c r="G2282" t="s">
        <v>713</v>
      </c>
      <c r="H2282" t="s">
        <v>366</v>
      </c>
      <c r="I2282">
        <v>1690</v>
      </c>
      <c r="J2282" t="s">
        <v>21</v>
      </c>
      <c r="K2282">
        <v>0</v>
      </c>
      <c r="L2282" t="s">
        <v>35</v>
      </c>
      <c r="M2282">
        <v>1108</v>
      </c>
    </row>
    <row r="2283" spans="1:13">
      <c r="A2283">
        <v>2277</v>
      </c>
      <c r="B2283">
        <v>74098</v>
      </c>
      <c r="C2283" t="s">
        <v>5093</v>
      </c>
      <c r="D2283" t="s">
        <v>121</v>
      </c>
      <c r="E2283" t="s">
        <v>5094</v>
      </c>
      <c r="F2283" t="str">
        <f>"00323770"</f>
        <v>00323770</v>
      </c>
      <c r="G2283" t="s">
        <v>325</v>
      </c>
      <c r="H2283" t="s">
        <v>326</v>
      </c>
      <c r="I2283">
        <v>1592</v>
      </c>
      <c r="J2283" t="s">
        <v>21</v>
      </c>
      <c r="K2283">
        <v>0</v>
      </c>
      <c r="L2283" t="s">
        <v>35</v>
      </c>
      <c r="M2283">
        <v>1423</v>
      </c>
    </row>
    <row r="2284" spans="1:13">
      <c r="A2284">
        <v>2278</v>
      </c>
      <c r="B2284">
        <v>106289</v>
      </c>
      <c r="C2284" t="s">
        <v>5095</v>
      </c>
      <c r="D2284" t="s">
        <v>76</v>
      </c>
      <c r="E2284" t="s">
        <v>5096</v>
      </c>
      <c r="F2284" t="str">
        <f>"00229815"</f>
        <v>00229815</v>
      </c>
      <c r="G2284" t="s">
        <v>96</v>
      </c>
      <c r="H2284" t="s">
        <v>20</v>
      </c>
      <c r="I2284">
        <v>1474</v>
      </c>
      <c r="J2284" t="s">
        <v>21</v>
      </c>
      <c r="K2284">
        <v>0</v>
      </c>
      <c r="L2284" t="s">
        <v>35</v>
      </c>
      <c r="M2284">
        <v>1000</v>
      </c>
    </row>
    <row r="2285" spans="1:13">
      <c r="A2285">
        <v>2279</v>
      </c>
      <c r="B2285">
        <v>60904</v>
      </c>
      <c r="C2285" t="s">
        <v>5097</v>
      </c>
      <c r="D2285" t="s">
        <v>145</v>
      </c>
      <c r="E2285" t="s">
        <v>5098</v>
      </c>
      <c r="F2285" t="str">
        <f>"00374461"</f>
        <v>00374461</v>
      </c>
      <c r="G2285" t="s">
        <v>82</v>
      </c>
      <c r="H2285" t="s">
        <v>20</v>
      </c>
      <c r="I2285">
        <v>1475</v>
      </c>
      <c r="J2285" t="s">
        <v>21</v>
      </c>
      <c r="K2285">
        <v>0</v>
      </c>
      <c r="M2285">
        <v>1488</v>
      </c>
    </row>
    <row r="2286" spans="1:13">
      <c r="A2286">
        <v>2280</v>
      </c>
      <c r="B2286">
        <v>87734</v>
      </c>
      <c r="C2286" t="s">
        <v>5099</v>
      </c>
      <c r="D2286" t="s">
        <v>105</v>
      </c>
      <c r="E2286" t="s">
        <v>5100</v>
      </c>
      <c r="F2286" t="str">
        <f>"00398431"</f>
        <v>00398431</v>
      </c>
      <c r="G2286" t="s">
        <v>107</v>
      </c>
      <c r="H2286" t="s">
        <v>20</v>
      </c>
      <c r="I2286">
        <v>1472</v>
      </c>
      <c r="J2286" t="s">
        <v>21</v>
      </c>
      <c r="K2286">
        <v>0</v>
      </c>
      <c r="M2286">
        <v>1368</v>
      </c>
    </row>
    <row r="2287" spans="1:13">
      <c r="A2287">
        <v>2281</v>
      </c>
      <c r="B2287">
        <v>46978</v>
      </c>
      <c r="C2287" t="s">
        <v>5101</v>
      </c>
      <c r="D2287" t="s">
        <v>198</v>
      </c>
      <c r="E2287" t="s">
        <v>5102</v>
      </c>
      <c r="F2287" t="str">
        <f>"00176984"</f>
        <v>00176984</v>
      </c>
      <c r="G2287" t="s">
        <v>488</v>
      </c>
      <c r="H2287" t="s">
        <v>20</v>
      </c>
      <c r="I2287">
        <v>1482</v>
      </c>
      <c r="J2287" t="s">
        <v>21</v>
      </c>
      <c r="K2287">
        <v>0</v>
      </c>
      <c r="M2287">
        <v>1338</v>
      </c>
    </row>
    <row r="2288" spans="1:13">
      <c r="A2288">
        <v>2282</v>
      </c>
      <c r="B2288">
        <v>114822</v>
      </c>
      <c r="C2288" t="s">
        <v>5103</v>
      </c>
      <c r="D2288" t="s">
        <v>209</v>
      </c>
      <c r="E2288" t="s">
        <v>5104</v>
      </c>
      <c r="F2288" t="str">
        <f>"201511024263"</f>
        <v>201511024263</v>
      </c>
      <c r="G2288" t="s">
        <v>47</v>
      </c>
      <c r="H2288" t="s">
        <v>48</v>
      </c>
      <c r="I2288">
        <v>1623</v>
      </c>
      <c r="J2288" t="s">
        <v>21</v>
      </c>
      <c r="K2288">
        <v>0</v>
      </c>
      <c r="L2288" t="s">
        <v>35</v>
      </c>
      <c r="M2288">
        <v>875</v>
      </c>
    </row>
    <row r="2289" spans="1:13">
      <c r="A2289">
        <v>2283</v>
      </c>
      <c r="B2289">
        <v>62051</v>
      </c>
      <c r="C2289" t="s">
        <v>5105</v>
      </c>
      <c r="D2289" t="s">
        <v>105</v>
      </c>
      <c r="E2289" t="s">
        <v>5106</v>
      </c>
      <c r="F2289" t="str">
        <f>"00101635"</f>
        <v>00101635</v>
      </c>
      <c r="G2289" t="s">
        <v>150</v>
      </c>
      <c r="H2289" t="s">
        <v>151</v>
      </c>
      <c r="I2289">
        <v>1699</v>
      </c>
      <c r="J2289" t="s">
        <v>21</v>
      </c>
      <c r="K2289">
        <v>0</v>
      </c>
      <c r="M2289">
        <v>1318</v>
      </c>
    </row>
    <row r="2290" spans="1:13">
      <c r="A2290">
        <v>2284</v>
      </c>
      <c r="B2290">
        <v>75133</v>
      </c>
      <c r="C2290" t="s">
        <v>5107</v>
      </c>
      <c r="D2290" t="s">
        <v>2029</v>
      </c>
      <c r="E2290" t="s">
        <v>5108</v>
      </c>
      <c r="F2290" t="str">
        <f>"00381394"</f>
        <v>00381394</v>
      </c>
      <c r="G2290" t="s">
        <v>258</v>
      </c>
      <c r="H2290" t="s">
        <v>20</v>
      </c>
      <c r="I2290">
        <v>1484</v>
      </c>
      <c r="J2290" t="s">
        <v>21</v>
      </c>
      <c r="K2290">
        <v>0</v>
      </c>
      <c r="M2290">
        <v>1288</v>
      </c>
    </row>
    <row r="2291" spans="1:13">
      <c r="A2291">
        <v>2285</v>
      </c>
      <c r="B2291">
        <v>96373</v>
      </c>
      <c r="C2291" t="s">
        <v>5109</v>
      </c>
      <c r="D2291" t="s">
        <v>98</v>
      </c>
      <c r="E2291" t="s">
        <v>5110</v>
      </c>
      <c r="F2291" t="str">
        <f>"00380474"</f>
        <v>00380474</v>
      </c>
      <c r="G2291" t="s">
        <v>107</v>
      </c>
      <c r="H2291" t="s">
        <v>20</v>
      </c>
      <c r="I2291">
        <v>1472</v>
      </c>
      <c r="J2291" t="s">
        <v>21</v>
      </c>
      <c r="K2291">
        <v>0</v>
      </c>
      <c r="L2291" t="s">
        <v>59</v>
      </c>
      <c r="M2291">
        <v>938</v>
      </c>
    </row>
    <row r="2292" spans="1:13">
      <c r="A2292">
        <v>2286</v>
      </c>
      <c r="B2292">
        <v>76947</v>
      </c>
      <c r="C2292" t="s">
        <v>5111</v>
      </c>
      <c r="D2292" t="s">
        <v>80</v>
      </c>
      <c r="E2292" t="s">
        <v>5112</v>
      </c>
      <c r="F2292" t="str">
        <f>"00380404"</f>
        <v>00380404</v>
      </c>
      <c r="G2292" t="s">
        <v>561</v>
      </c>
      <c r="H2292" t="s">
        <v>20</v>
      </c>
      <c r="I2292">
        <v>1574</v>
      </c>
      <c r="J2292" t="s">
        <v>21</v>
      </c>
      <c r="K2292">
        <v>0</v>
      </c>
      <c r="M2292">
        <v>1328</v>
      </c>
    </row>
    <row r="2293" spans="1:13">
      <c r="A2293">
        <v>2287</v>
      </c>
      <c r="B2293">
        <v>100135</v>
      </c>
      <c r="C2293" t="s">
        <v>5113</v>
      </c>
      <c r="D2293" t="s">
        <v>94</v>
      </c>
      <c r="E2293" t="s">
        <v>5114</v>
      </c>
      <c r="F2293" t="str">
        <f>"00379766"</f>
        <v>00379766</v>
      </c>
      <c r="G2293" t="s">
        <v>540</v>
      </c>
      <c r="H2293" t="s">
        <v>20</v>
      </c>
      <c r="I2293">
        <v>1435</v>
      </c>
      <c r="J2293" t="s">
        <v>21</v>
      </c>
      <c r="K2293">
        <v>0</v>
      </c>
      <c r="M2293">
        <v>1462</v>
      </c>
    </row>
    <row r="2294" spans="1:13">
      <c r="A2294">
        <v>2288</v>
      </c>
      <c r="B2294">
        <v>98081</v>
      </c>
      <c r="C2294" t="s">
        <v>5115</v>
      </c>
      <c r="D2294" t="s">
        <v>94</v>
      </c>
      <c r="E2294" t="s">
        <v>5116</v>
      </c>
      <c r="F2294" t="str">
        <f>"00380584"</f>
        <v>00380584</v>
      </c>
      <c r="G2294" t="s">
        <v>760</v>
      </c>
      <c r="H2294" t="s">
        <v>20</v>
      </c>
      <c r="I2294">
        <v>1432</v>
      </c>
      <c r="J2294" t="s">
        <v>21</v>
      </c>
      <c r="K2294">
        <v>0</v>
      </c>
      <c r="L2294" t="s">
        <v>35</v>
      </c>
      <c r="M2294">
        <v>1108</v>
      </c>
    </row>
    <row r="2295" spans="1:13">
      <c r="A2295">
        <v>2289</v>
      </c>
      <c r="B2295">
        <v>94782</v>
      </c>
      <c r="C2295" t="s">
        <v>5117</v>
      </c>
      <c r="D2295" t="s">
        <v>121</v>
      </c>
      <c r="E2295" t="s">
        <v>5118</v>
      </c>
      <c r="F2295" t="str">
        <f>"00387784"</f>
        <v>00387784</v>
      </c>
      <c r="G2295" t="s">
        <v>107</v>
      </c>
      <c r="H2295" t="s">
        <v>20</v>
      </c>
      <c r="I2295">
        <v>1472</v>
      </c>
      <c r="J2295" t="s">
        <v>21</v>
      </c>
      <c r="K2295">
        <v>0</v>
      </c>
      <c r="L2295" t="s">
        <v>59</v>
      </c>
      <c r="M2295">
        <v>1078</v>
      </c>
    </row>
    <row r="2296" spans="1:13">
      <c r="A2296">
        <v>2290</v>
      </c>
      <c r="B2296">
        <v>104951</v>
      </c>
      <c r="C2296" t="s">
        <v>5119</v>
      </c>
      <c r="D2296" t="s">
        <v>557</v>
      </c>
      <c r="E2296" t="s">
        <v>5120</v>
      </c>
      <c r="F2296" t="str">
        <f>"00393017"</f>
        <v>00393017</v>
      </c>
      <c r="G2296" t="s">
        <v>883</v>
      </c>
      <c r="H2296" t="s">
        <v>270</v>
      </c>
      <c r="I2296">
        <v>1585</v>
      </c>
      <c r="J2296" t="s">
        <v>21</v>
      </c>
      <c r="K2296">
        <v>0</v>
      </c>
      <c r="L2296" t="s">
        <v>35</v>
      </c>
      <c r="M2296">
        <v>1058</v>
      </c>
    </row>
    <row r="2297" spans="1:13">
      <c r="A2297">
        <v>2291</v>
      </c>
      <c r="B2297">
        <v>86789</v>
      </c>
      <c r="C2297" t="s">
        <v>5121</v>
      </c>
      <c r="D2297" t="s">
        <v>905</v>
      </c>
      <c r="E2297" t="s">
        <v>5122</v>
      </c>
      <c r="F2297" t="str">
        <f>"201604006174"</f>
        <v>201604006174</v>
      </c>
      <c r="G2297" t="s">
        <v>428</v>
      </c>
      <c r="H2297" t="s">
        <v>20</v>
      </c>
      <c r="I2297">
        <v>1556</v>
      </c>
      <c r="J2297" t="s">
        <v>21</v>
      </c>
      <c r="K2297">
        <v>6</v>
      </c>
      <c r="L2297" t="s">
        <v>83</v>
      </c>
      <c r="M2297">
        <v>1188</v>
      </c>
    </row>
    <row r="2298" spans="1:13">
      <c r="A2298">
        <v>2292</v>
      </c>
      <c r="B2298">
        <v>74608</v>
      </c>
      <c r="C2298" t="s">
        <v>5121</v>
      </c>
      <c r="D2298" t="s">
        <v>163</v>
      </c>
      <c r="E2298" t="s">
        <v>5123</v>
      </c>
      <c r="F2298" t="str">
        <f>"201511020426"</f>
        <v>201511020426</v>
      </c>
      <c r="G2298" t="s">
        <v>211</v>
      </c>
      <c r="H2298" t="s">
        <v>48</v>
      </c>
      <c r="I2298">
        <v>1628</v>
      </c>
      <c r="J2298" t="s">
        <v>21</v>
      </c>
      <c r="K2298">
        <v>0</v>
      </c>
      <c r="M2298">
        <v>1338</v>
      </c>
    </row>
    <row r="2299" spans="1:13">
      <c r="A2299">
        <v>2293</v>
      </c>
      <c r="B2299">
        <v>57452</v>
      </c>
      <c r="C2299" t="s">
        <v>5124</v>
      </c>
      <c r="D2299" t="s">
        <v>105</v>
      </c>
      <c r="E2299" t="s">
        <v>5125</v>
      </c>
      <c r="F2299" t="str">
        <f>"00327780"</f>
        <v>00327780</v>
      </c>
      <c r="G2299" t="s">
        <v>38</v>
      </c>
      <c r="H2299" t="s">
        <v>39</v>
      </c>
      <c r="I2299">
        <v>1634</v>
      </c>
      <c r="J2299" t="s">
        <v>21</v>
      </c>
      <c r="K2299">
        <v>6</v>
      </c>
      <c r="L2299" t="s">
        <v>35</v>
      </c>
      <c r="M2299">
        <v>725</v>
      </c>
    </row>
    <row r="2300" spans="1:13">
      <c r="A2300">
        <v>2294</v>
      </c>
      <c r="B2300">
        <v>99500</v>
      </c>
      <c r="C2300" t="s">
        <v>5126</v>
      </c>
      <c r="D2300" t="s">
        <v>76</v>
      </c>
      <c r="E2300" t="s">
        <v>5127</v>
      </c>
      <c r="F2300" t="str">
        <f>"00369604"</f>
        <v>00369604</v>
      </c>
      <c r="G2300" t="s">
        <v>82</v>
      </c>
      <c r="H2300" t="s">
        <v>20</v>
      </c>
      <c r="I2300">
        <v>1475</v>
      </c>
      <c r="J2300" t="s">
        <v>21</v>
      </c>
      <c r="K2300">
        <v>0</v>
      </c>
      <c r="L2300" t="s">
        <v>59</v>
      </c>
      <c r="M2300">
        <v>1007</v>
      </c>
    </row>
    <row r="2301" spans="1:13">
      <c r="A2301">
        <v>2295</v>
      </c>
      <c r="B2301">
        <v>59250</v>
      </c>
      <c r="C2301" t="s">
        <v>5128</v>
      </c>
      <c r="D2301" t="s">
        <v>288</v>
      </c>
      <c r="E2301" t="s">
        <v>5129</v>
      </c>
      <c r="F2301" t="str">
        <f>"00321993"</f>
        <v>00321993</v>
      </c>
      <c r="G2301" t="s">
        <v>284</v>
      </c>
      <c r="H2301" t="s">
        <v>270</v>
      </c>
      <c r="I2301">
        <v>1586</v>
      </c>
      <c r="J2301" t="s">
        <v>21</v>
      </c>
      <c r="K2301">
        <v>0</v>
      </c>
      <c r="M2301">
        <v>1728</v>
      </c>
    </row>
    <row r="2302" spans="1:13">
      <c r="A2302">
        <v>2296</v>
      </c>
      <c r="B2302">
        <v>85826</v>
      </c>
      <c r="C2302" t="s">
        <v>5128</v>
      </c>
      <c r="D2302" t="s">
        <v>130</v>
      </c>
      <c r="E2302" t="s">
        <v>5130</v>
      </c>
      <c r="F2302" t="str">
        <f>"00401447"</f>
        <v>00401447</v>
      </c>
      <c r="G2302" t="s">
        <v>365</v>
      </c>
      <c r="H2302" t="s">
        <v>366</v>
      </c>
      <c r="I2302">
        <v>1692</v>
      </c>
      <c r="J2302" t="s">
        <v>21</v>
      </c>
      <c r="K2302">
        <v>0</v>
      </c>
      <c r="M2302">
        <v>1378</v>
      </c>
    </row>
    <row r="2303" spans="1:13">
      <c r="A2303">
        <v>2297</v>
      </c>
      <c r="B2303">
        <v>100554</v>
      </c>
      <c r="C2303" t="s">
        <v>5131</v>
      </c>
      <c r="D2303" t="s">
        <v>76</v>
      </c>
      <c r="E2303" t="s">
        <v>5132</v>
      </c>
      <c r="F2303" t="str">
        <f>"00325223"</f>
        <v>00325223</v>
      </c>
      <c r="G2303" t="s">
        <v>63</v>
      </c>
      <c r="H2303" t="s">
        <v>20</v>
      </c>
      <c r="I2303">
        <v>1576</v>
      </c>
      <c r="J2303" t="s">
        <v>21</v>
      </c>
      <c r="K2303">
        <v>0</v>
      </c>
      <c r="M2303">
        <v>1338</v>
      </c>
    </row>
    <row r="2304" spans="1:13">
      <c r="A2304">
        <v>2298</v>
      </c>
      <c r="B2304">
        <v>110469</v>
      </c>
      <c r="C2304" t="s">
        <v>5133</v>
      </c>
      <c r="D2304" t="s">
        <v>180</v>
      </c>
      <c r="E2304" t="s">
        <v>5134</v>
      </c>
      <c r="F2304" t="str">
        <f>"00417559"</f>
        <v>00417559</v>
      </c>
      <c r="G2304" t="s">
        <v>111</v>
      </c>
      <c r="H2304" t="s">
        <v>48</v>
      </c>
      <c r="I2304">
        <v>1620</v>
      </c>
      <c r="J2304" t="s">
        <v>21</v>
      </c>
      <c r="K2304">
        <v>0</v>
      </c>
      <c r="L2304" t="s">
        <v>35</v>
      </c>
      <c r="M2304">
        <v>853</v>
      </c>
    </row>
    <row r="2305" spans="1:13">
      <c r="A2305">
        <v>2299</v>
      </c>
      <c r="B2305">
        <v>54550</v>
      </c>
      <c r="C2305" t="s">
        <v>5135</v>
      </c>
      <c r="D2305" t="s">
        <v>105</v>
      </c>
      <c r="E2305" t="s">
        <v>5136</v>
      </c>
      <c r="F2305" t="str">
        <f>"00248818"</f>
        <v>00248818</v>
      </c>
      <c r="G2305" t="s">
        <v>837</v>
      </c>
      <c r="H2305" t="s">
        <v>20</v>
      </c>
      <c r="I2305">
        <v>1546</v>
      </c>
      <c r="J2305" t="s">
        <v>21</v>
      </c>
      <c r="K2305">
        <v>0</v>
      </c>
      <c r="M2305">
        <v>1488</v>
      </c>
    </row>
    <row r="2306" spans="1:13">
      <c r="A2306">
        <v>2300</v>
      </c>
      <c r="B2306">
        <v>81931</v>
      </c>
      <c r="C2306" t="s">
        <v>5137</v>
      </c>
      <c r="D2306" t="s">
        <v>5138</v>
      </c>
      <c r="E2306" t="s">
        <v>5139</v>
      </c>
      <c r="F2306" t="str">
        <f>"201510001065"</f>
        <v>201510001065</v>
      </c>
      <c r="G2306" t="s">
        <v>107</v>
      </c>
      <c r="H2306" t="s">
        <v>20</v>
      </c>
      <c r="I2306">
        <v>1472</v>
      </c>
      <c r="J2306" t="s">
        <v>21</v>
      </c>
      <c r="K2306">
        <v>0</v>
      </c>
      <c r="L2306" t="s">
        <v>83</v>
      </c>
      <c r="M2306">
        <v>1228</v>
      </c>
    </row>
    <row r="2307" spans="1:13">
      <c r="A2307">
        <v>2301</v>
      </c>
      <c r="B2307">
        <v>99549</v>
      </c>
      <c r="C2307" t="s">
        <v>5140</v>
      </c>
      <c r="D2307" t="s">
        <v>391</v>
      </c>
      <c r="E2307" t="s">
        <v>5141</v>
      </c>
      <c r="F2307" t="str">
        <f>"00095332"</f>
        <v>00095332</v>
      </c>
      <c r="G2307" t="s">
        <v>92</v>
      </c>
      <c r="H2307" t="s">
        <v>20</v>
      </c>
      <c r="I2307">
        <v>1425</v>
      </c>
      <c r="J2307" t="s">
        <v>21</v>
      </c>
      <c r="K2307">
        <v>0</v>
      </c>
      <c r="L2307" t="s">
        <v>35</v>
      </c>
      <c r="M2307">
        <v>1308</v>
      </c>
    </row>
    <row r="2308" spans="1:13">
      <c r="A2308">
        <v>2302</v>
      </c>
      <c r="B2308">
        <v>46279</v>
      </c>
      <c r="C2308" t="s">
        <v>5142</v>
      </c>
      <c r="D2308" t="s">
        <v>243</v>
      </c>
      <c r="E2308" t="s">
        <v>5143</v>
      </c>
      <c r="F2308" t="str">
        <f>"00347645"</f>
        <v>00347645</v>
      </c>
      <c r="G2308" t="s">
        <v>38</v>
      </c>
      <c r="H2308" t="s">
        <v>39</v>
      </c>
      <c r="I2308">
        <v>1634</v>
      </c>
      <c r="J2308" t="s">
        <v>21</v>
      </c>
      <c r="K2308">
        <v>6</v>
      </c>
      <c r="L2308" t="s">
        <v>35</v>
      </c>
      <c r="M2308">
        <v>600</v>
      </c>
    </row>
    <row r="2309" spans="1:13">
      <c r="A2309">
        <v>2303</v>
      </c>
      <c r="B2309">
        <v>107477</v>
      </c>
      <c r="C2309" t="s">
        <v>5144</v>
      </c>
      <c r="D2309" t="s">
        <v>145</v>
      </c>
      <c r="E2309" t="s">
        <v>5145</v>
      </c>
      <c r="F2309" t="str">
        <f>"00416038"</f>
        <v>00416038</v>
      </c>
      <c r="G2309" t="s">
        <v>428</v>
      </c>
      <c r="H2309" t="s">
        <v>20</v>
      </c>
      <c r="I2309">
        <v>1556</v>
      </c>
      <c r="J2309" t="s">
        <v>21</v>
      </c>
      <c r="K2309">
        <v>6</v>
      </c>
      <c r="L2309" t="s">
        <v>35</v>
      </c>
      <c r="M2309">
        <v>985</v>
      </c>
    </row>
    <row r="2310" spans="1:13">
      <c r="A2310">
        <v>2304</v>
      </c>
      <c r="B2310">
        <v>110076</v>
      </c>
      <c r="C2310" t="s">
        <v>5144</v>
      </c>
      <c r="D2310" t="s">
        <v>238</v>
      </c>
      <c r="E2310" t="s">
        <v>5146</v>
      </c>
      <c r="F2310" t="str">
        <f>"00409416"</f>
        <v>00409416</v>
      </c>
      <c r="G2310" t="s">
        <v>207</v>
      </c>
      <c r="H2310" t="s">
        <v>20</v>
      </c>
      <c r="I2310">
        <v>1560</v>
      </c>
      <c r="J2310" t="s">
        <v>21</v>
      </c>
      <c r="K2310">
        <v>6</v>
      </c>
      <c r="M2310">
        <v>1514</v>
      </c>
    </row>
    <row r="2311" spans="1:13">
      <c r="A2311">
        <v>2305</v>
      </c>
      <c r="B2311">
        <v>88853</v>
      </c>
      <c r="C2311" t="s">
        <v>5147</v>
      </c>
      <c r="D2311" t="s">
        <v>121</v>
      </c>
      <c r="E2311" t="s">
        <v>5148</v>
      </c>
      <c r="F2311" t="str">
        <f>"00251191"</f>
        <v>00251191</v>
      </c>
      <c r="G2311" t="s">
        <v>892</v>
      </c>
      <c r="H2311" t="s">
        <v>20</v>
      </c>
      <c r="I2311">
        <v>1410</v>
      </c>
      <c r="J2311" t="s">
        <v>21</v>
      </c>
      <c r="K2311">
        <v>0</v>
      </c>
      <c r="L2311" t="s">
        <v>35</v>
      </c>
      <c r="M2311">
        <v>1108</v>
      </c>
    </row>
    <row r="2312" spans="1:13">
      <c r="A2312">
        <v>2306</v>
      </c>
      <c r="B2312">
        <v>59709</v>
      </c>
      <c r="C2312" t="s">
        <v>5149</v>
      </c>
      <c r="D2312" t="s">
        <v>3470</v>
      </c>
      <c r="E2312" t="s">
        <v>5150</v>
      </c>
      <c r="F2312" t="str">
        <f>"00280034"</f>
        <v>00280034</v>
      </c>
      <c r="G2312" t="s">
        <v>1556</v>
      </c>
      <c r="H2312" t="s">
        <v>20</v>
      </c>
      <c r="I2312">
        <v>1530</v>
      </c>
      <c r="J2312" t="s">
        <v>21</v>
      </c>
      <c r="K2312">
        <v>0</v>
      </c>
      <c r="M2312">
        <v>1563</v>
      </c>
    </row>
    <row r="2313" spans="1:13">
      <c r="A2313">
        <v>2307</v>
      </c>
      <c r="B2313">
        <v>109765</v>
      </c>
      <c r="C2313" t="s">
        <v>5151</v>
      </c>
      <c r="D2313" t="s">
        <v>238</v>
      </c>
      <c r="E2313" t="s">
        <v>5152</v>
      </c>
      <c r="F2313" t="str">
        <f>"00411341"</f>
        <v>00411341</v>
      </c>
      <c r="G2313" t="s">
        <v>428</v>
      </c>
      <c r="H2313" t="s">
        <v>20</v>
      </c>
      <c r="I2313">
        <v>1556</v>
      </c>
      <c r="J2313" t="s">
        <v>21</v>
      </c>
      <c r="K2313">
        <v>6</v>
      </c>
      <c r="L2313" t="s">
        <v>35</v>
      </c>
      <c r="M2313">
        <v>1033</v>
      </c>
    </row>
    <row r="2314" spans="1:13">
      <c r="A2314">
        <v>2308</v>
      </c>
      <c r="B2314">
        <v>109501</v>
      </c>
      <c r="C2314" t="s">
        <v>5153</v>
      </c>
      <c r="D2314" t="s">
        <v>238</v>
      </c>
      <c r="E2314" t="s">
        <v>5154</v>
      </c>
      <c r="F2314" t="str">
        <f>"00410939"</f>
        <v>00410939</v>
      </c>
      <c r="G2314" t="s">
        <v>207</v>
      </c>
      <c r="H2314" t="s">
        <v>20</v>
      </c>
      <c r="I2314">
        <v>1560</v>
      </c>
      <c r="J2314" t="s">
        <v>21</v>
      </c>
      <c r="K2314">
        <v>6</v>
      </c>
      <c r="L2314" t="s">
        <v>35</v>
      </c>
      <c r="M2314">
        <v>1195</v>
      </c>
    </row>
    <row r="2315" spans="1:13">
      <c r="A2315">
        <v>2309</v>
      </c>
      <c r="B2315">
        <v>116107</v>
      </c>
      <c r="C2315" t="s">
        <v>5155</v>
      </c>
      <c r="D2315" t="s">
        <v>80</v>
      </c>
      <c r="E2315" t="s">
        <v>5156</v>
      </c>
      <c r="F2315" t="str">
        <f>"00421640"</f>
        <v>00421640</v>
      </c>
      <c r="G2315" t="s">
        <v>38</v>
      </c>
      <c r="H2315" t="s">
        <v>39</v>
      </c>
      <c r="I2315">
        <v>1634</v>
      </c>
      <c r="J2315" t="s">
        <v>21</v>
      </c>
      <c r="K2315">
        <v>0</v>
      </c>
      <c r="L2315" t="s">
        <v>59</v>
      </c>
      <c r="M2315">
        <v>788</v>
      </c>
    </row>
    <row r="2316" spans="1:13">
      <c r="A2316">
        <v>2310</v>
      </c>
      <c r="B2316">
        <v>85816</v>
      </c>
      <c r="C2316" t="s">
        <v>5157</v>
      </c>
      <c r="D2316" t="s">
        <v>145</v>
      </c>
      <c r="E2316" t="s">
        <v>5158</v>
      </c>
      <c r="F2316" t="str">
        <f>"201406001058"</f>
        <v>201406001058</v>
      </c>
      <c r="G2316" t="s">
        <v>696</v>
      </c>
      <c r="H2316" t="s">
        <v>20</v>
      </c>
      <c r="I2316">
        <v>1520</v>
      </c>
      <c r="J2316" t="s">
        <v>21</v>
      </c>
      <c r="K2316">
        <v>0</v>
      </c>
      <c r="L2316" t="s">
        <v>88</v>
      </c>
      <c r="M2316">
        <v>608</v>
      </c>
    </row>
    <row r="2317" spans="1:13">
      <c r="A2317">
        <v>2311</v>
      </c>
      <c r="B2317">
        <v>67692</v>
      </c>
      <c r="C2317" t="s">
        <v>5159</v>
      </c>
      <c r="D2317" t="s">
        <v>76</v>
      </c>
      <c r="E2317" t="s">
        <v>5160</v>
      </c>
      <c r="F2317" t="str">
        <f>"00029718"</f>
        <v>00029718</v>
      </c>
      <c r="G2317" t="s">
        <v>294</v>
      </c>
      <c r="H2317" t="s">
        <v>1827</v>
      </c>
      <c r="I2317">
        <v>1700</v>
      </c>
      <c r="J2317" t="s">
        <v>21</v>
      </c>
      <c r="K2317">
        <v>0</v>
      </c>
      <c r="M2317">
        <v>1528</v>
      </c>
    </row>
    <row r="2318" spans="1:13">
      <c r="A2318">
        <v>2312</v>
      </c>
      <c r="B2318">
        <v>78670</v>
      </c>
      <c r="C2318" t="s">
        <v>5161</v>
      </c>
      <c r="D2318" t="s">
        <v>80</v>
      </c>
      <c r="E2318" t="s">
        <v>5162</v>
      </c>
      <c r="F2318" t="str">
        <f>"00325834"</f>
        <v>00325834</v>
      </c>
      <c r="G2318" t="s">
        <v>111</v>
      </c>
      <c r="H2318" t="s">
        <v>48</v>
      </c>
      <c r="I2318">
        <v>1620</v>
      </c>
      <c r="J2318" t="s">
        <v>21</v>
      </c>
      <c r="K2318">
        <v>0</v>
      </c>
      <c r="M2318">
        <v>1328</v>
      </c>
    </row>
    <row r="2319" spans="1:13">
      <c r="A2319">
        <v>2313</v>
      </c>
      <c r="B2319">
        <v>88693</v>
      </c>
      <c r="C2319" t="s">
        <v>5163</v>
      </c>
      <c r="D2319" t="s">
        <v>76</v>
      </c>
      <c r="E2319" t="s">
        <v>5164</v>
      </c>
      <c r="F2319" t="str">
        <f>"00400129"</f>
        <v>00400129</v>
      </c>
      <c r="G2319" t="s">
        <v>245</v>
      </c>
      <c r="H2319" t="s">
        <v>20</v>
      </c>
      <c r="I2319">
        <v>1406</v>
      </c>
      <c r="J2319" t="s">
        <v>21</v>
      </c>
      <c r="K2319">
        <v>0</v>
      </c>
      <c r="L2319" t="s">
        <v>35</v>
      </c>
      <c r="M2319">
        <v>1000</v>
      </c>
    </row>
    <row r="2320" spans="1:13">
      <c r="A2320">
        <v>2314</v>
      </c>
      <c r="B2320">
        <v>88646</v>
      </c>
      <c r="C2320" t="s">
        <v>5165</v>
      </c>
      <c r="D2320" t="s">
        <v>288</v>
      </c>
      <c r="E2320" t="s">
        <v>5166</v>
      </c>
      <c r="F2320" t="str">
        <f>"201410008760"</f>
        <v>201410008760</v>
      </c>
      <c r="G2320" t="s">
        <v>683</v>
      </c>
      <c r="H2320" t="s">
        <v>535</v>
      </c>
      <c r="I2320">
        <v>1670</v>
      </c>
      <c r="J2320" t="s">
        <v>21</v>
      </c>
      <c r="K2320">
        <v>0</v>
      </c>
      <c r="L2320" t="s">
        <v>35</v>
      </c>
      <c r="M2320">
        <v>985</v>
      </c>
    </row>
    <row r="2321" spans="1:13">
      <c r="A2321">
        <v>2315</v>
      </c>
      <c r="B2321">
        <v>94388</v>
      </c>
      <c r="C2321" t="s">
        <v>5167</v>
      </c>
      <c r="D2321" t="s">
        <v>139</v>
      </c>
      <c r="E2321" t="s">
        <v>5168</v>
      </c>
      <c r="F2321" t="str">
        <f>"00398925"</f>
        <v>00398925</v>
      </c>
      <c r="G2321" t="s">
        <v>531</v>
      </c>
      <c r="H2321" t="s">
        <v>20</v>
      </c>
      <c r="I2321">
        <v>1445</v>
      </c>
      <c r="J2321" t="s">
        <v>21</v>
      </c>
      <c r="K2321">
        <v>0</v>
      </c>
      <c r="L2321" t="s">
        <v>59</v>
      </c>
      <c r="M2321">
        <v>1134</v>
      </c>
    </row>
    <row r="2322" spans="1:13">
      <c r="A2322">
        <v>2316</v>
      </c>
      <c r="B2322">
        <v>86756</v>
      </c>
      <c r="C2322" t="s">
        <v>5169</v>
      </c>
      <c r="D2322" t="s">
        <v>905</v>
      </c>
      <c r="E2322" t="s">
        <v>5170</v>
      </c>
      <c r="F2322" t="str">
        <f>"00406800"</f>
        <v>00406800</v>
      </c>
      <c r="G2322" t="s">
        <v>428</v>
      </c>
      <c r="H2322" t="s">
        <v>20</v>
      </c>
      <c r="I2322">
        <v>1556</v>
      </c>
      <c r="J2322" t="s">
        <v>21</v>
      </c>
      <c r="K2322">
        <v>6</v>
      </c>
      <c r="L2322" t="s">
        <v>88</v>
      </c>
      <c r="M2322">
        <v>523</v>
      </c>
    </row>
    <row r="2323" spans="1:13">
      <c r="A2323">
        <v>2317</v>
      </c>
      <c r="B2323">
        <v>109262</v>
      </c>
      <c r="C2323" t="s">
        <v>5171</v>
      </c>
      <c r="D2323" t="s">
        <v>180</v>
      </c>
      <c r="E2323" t="s">
        <v>5172</v>
      </c>
      <c r="F2323" t="str">
        <f>"00418892"</f>
        <v>00418892</v>
      </c>
      <c r="G2323" t="s">
        <v>47</v>
      </c>
      <c r="H2323" t="s">
        <v>48</v>
      </c>
      <c r="I2323">
        <v>1623</v>
      </c>
      <c r="J2323" t="s">
        <v>21</v>
      </c>
      <c r="K2323">
        <v>0</v>
      </c>
      <c r="L2323" t="s">
        <v>35</v>
      </c>
      <c r="M2323">
        <v>908</v>
      </c>
    </row>
    <row r="2324" spans="1:13">
      <c r="A2324">
        <v>2318</v>
      </c>
      <c r="B2324">
        <v>46233</v>
      </c>
      <c r="C2324" t="s">
        <v>5173</v>
      </c>
      <c r="D2324" t="s">
        <v>145</v>
      </c>
      <c r="E2324" t="s">
        <v>5174</v>
      </c>
      <c r="F2324" t="str">
        <f>"00347352"</f>
        <v>00347352</v>
      </c>
      <c r="G2324" t="s">
        <v>150</v>
      </c>
      <c r="H2324" t="s">
        <v>151</v>
      </c>
      <c r="I2324">
        <v>1699</v>
      </c>
      <c r="J2324" t="s">
        <v>21</v>
      </c>
      <c r="K2324">
        <v>0</v>
      </c>
      <c r="L2324" t="s">
        <v>35</v>
      </c>
      <c r="M2324">
        <v>836</v>
      </c>
    </row>
    <row r="2325" spans="1:13">
      <c r="A2325">
        <v>2319</v>
      </c>
      <c r="B2325">
        <v>109730</v>
      </c>
      <c r="C2325" t="s">
        <v>5175</v>
      </c>
      <c r="D2325" t="s">
        <v>105</v>
      </c>
      <c r="E2325" t="s">
        <v>5176</v>
      </c>
      <c r="F2325" t="str">
        <f>"00409302"</f>
        <v>00409302</v>
      </c>
      <c r="G2325" t="s">
        <v>92</v>
      </c>
      <c r="H2325" t="s">
        <v>20</v>
      </c>
      <c r="I2325">
        <v>1425</v>
      </c>
      <c r="J2325" t="s">
        <v>21</v>
      </c>
      <c r="K2325">
        <v>0</v>
      </c>
      <c r="L2325" t="s">
        <v>112</v>
      </c>
      <c r="M2325">
        <v>1108</v>
      </c>
    </row>
    <row r="2326" spans="1:13">
      <c r="A2326">
        <v>2320</v>
      </c>
      <c r="B2326">
        <v>109521</v>
      </c>
      <c r="C2326" t="s">
        <v>5177</v>
      </c>
      <c r="D2326" t="s">
        <v>105</v>
      </c>
      <c r="E2326" t="s">
        <v>5178</v>
      </c>
      <c r="F2326" t="str">
        <f>"00390427"</f>
        <v>00390427</v>
      </c>
      <c r="G2326" t="s">
        <v>150</v>
      </c>
      <c r="H2326" t="s">
        <v>151</v>
      </c>
      <c r="I2326">
        <v>1699</v>
      </c>
      <c r="J2326" t="s">
        <v>21</v>
      </c>
      <c r="K2326">
        <v>0</v>
      </c>
      <c r="M2326">
        <v>1338</v>
      </c>
    </row>
    <row r="2327" spans="1:13">
      <c r="A2327">
        <v>2321</v>
      </c>
      <c r="B2327">
        <v>57204</v>
      </c>
      <c r="C2327" t="s">
        <v>5179</v>
      </c>
      <c r="D2327" t="s">
        <v>566</v>
      </c>
      <c r="E2327" t="s">
        <v>5180</v>
      </c>
      <c r="F2327" t="str">
        <f>"00259971"</f>
        <v>00259971</v>
      </c>
      <c r="G2327" t="s">
        <v>2025</v>
      </c>
      <c r="H2327" t="s">
        <v>2469</v>
      </c>
      <c r="I2327">
        <v>1648</v>
      </c>
      <c r="J2327" t="s">
        <v>21</v>
      </c>
      <c r="K2327">
        <v>6</v>
      </c>
      <c r="M2327">
        <v>1438</v>
      </c>
    </row>
    <row r="2328" spans="1:13">
      <c r="A2328">
        <v>2322</v>
      </c>
      <c r="B2328">
        <v>69137</v>
      </c>
      <c r="C2328" t="s">
        <v>5181</v>
      </c>
      <c r="D2328" t="s">
        <v>76</v>
      </c>
      <c r="E2328" t="s">
        <v>5182</v>
      </c>
      <c r="F2328" t="str">
        <f>"00381104"</f>
        <v>00381104</v>
      </c>
      <c r="G2328" t="s">
        <v>211</v>
      </c>
      <c r="H2328" t="s">
        <v>48</v>
      </c>
      <c r="I2328">
        <v>1628</v>
      </c>
      <c r="J2328" t="s">
        <v>21</v>
      </c>
      <c r="K2328">
        <v>0</v>
      </c>
      <c r="L2328" t="s">
        <v>88</v>
      </c>
      <c r="M2328">
        <v>600</v>
      </c>
    </row>
    <row r="2329" spans="1:13">
      <c r="A2329">
        <v>2323</v>
      </c>
      <c r="B2329">
        <v>65307</v>
      </c>
      <c r="C2329" t="s">
        <v>5183</v>
      </c>
      <c r="D2329" t="s">
        <v>1042</v>
      </c>
      <c r="E2329" t="s">
        <v>5184</v>
      </c>
      <c r="F2329" t="str">
        <f>"201511040498"</f>
        <v>201511040498</v>
      </c>
      <c r="G2329" t="s">
        <v>63</v>
      </c>
      <c r="H2329" t="s">
        <v>20</v>
      </c>
      <c r="I2329">
        <v>1576</v>
      </c>
      <c r="J2329" t="s">
        <v>21</v>
      </c>
      <c r="K2329">
        <v>0</v>
      </c>
      <c r="M2329">
        <v>1628</v>
      </c>
    </row>
    <row r="2330" spans="1:13">
      <c r="A2330">
        <v>2324</v>
      </c>
      <c r="B2330">
        <v>59739</v>
      </c>
      <c r="C2330" t="s">
        <v>5185</v>
      </c>
      <c r="D2330" t="s">
        <v>1474</v>
      </c>
      <c r="E2330" t="s">
        <v>5186</v>
      </c>
      <c r="F2330" t="str">
        <f>"00384527"</f>
        <v>00384527</v>
      </c>
      <c r="G2330" t="s">
        <v>19</v>
      </c>
      <c r="H2330" t="s">
        <v>20</v>
      </c>
      <c r="I2330">
        <v>1531</v>
      </c>
      <c r="J2330" t="s">
        <v>21</v>
      </c>
      <c r="K2330">
        <v>0</v>
      </c>
      <c r="L2330" t="s">
        <v>112</v>
      </c>
      <c r="M2330">
        <v>808</v>
      </c>
    </row>
    <row r="2331" spans="1:13">
      <c r="A2331">
        <v>2325</v>
      </c>
      <c r="B2331">
        <v>58098</v>
      </c>
      <c r="C2331" t="s">
        <v>5187</v>
      </c>
      <c r="D2331" t="s">
        <v>94</v>
      </c>
      <c r="E2331" t="s">
        <v>5188</v>
      </c>
      <c r="F2331" t="str">
        <f>"00357657"</f>
        <v>00357657</v>
      </c>
      <c r="G2331" t="s">
        <v>107</v>
      </c>
      <c r="H2331" t="s">
        <v>20</v>
      </c>
      <c r="I2331">
        <v>1472</v>
      </c>
      <c r="J2331" t="s">
        <v>21</v>
      </c>
      <c r="K2331">
        <v>0</v>
      </c>
      <c r="M2331">
        <v>1428</v>
      </c>
    </row>
    <row r="2332" spans="1:13">
      <c r="A2332">
        <v>2326</v>
      </c>
      <c r="B2332">
        <v>52242</v>
      </c>
      <c r="C2332" t="s">
        <v>5189</v>
      </c>
      <c r="D2332" t="s">
        <v>243</v>
      </c>
      <c r="E2332" t="s">
        <v>5190</v>
      </c>
      <c r="F2332" t="str">
        <f>"00357954"</f>
        <v>00357954</v>
      </c>
      <c r="G2332" t="s">
        <v>92</v>
      </c>
      <c r="H2332" t="s">
        <v>20</v>
      </c>
      <c r="I2332">
        <v>1425</v>
      </c>
      <c r="J2332" t="s">
        <v>21</v>
      </c>
      <c r="K2332">
        <v>0</v>
      </c>
      <c r="M2332">
        <v>1688</v>
      </c>
    </row>
    <row r="2333" spans="1:13">
      <c r="A2333">
        <v>2327</v>
      </c>
      <c r="B2333">
        <v>50175</v>
      </c>
      <c r="C2333" t="s">
        <v>5191</v>
      </c>
      <c r="D2333" t="s">
        <v>145</v>
      </c>
      <c r="E2333" t="s">
        <v>5192</v>
      </c>
      <c r="F2333" t="str">
        <f>"00140433"</f>
        <v>00140433</v>
      </c>
      <c r="G2333" t="s">
        <v>1084</v>
      </c>
      <c r="H2333" t="s">
        <v>1085</v>
      </c>
      <c r="I2333">
        <v>1588</v>
      </c>
      <c r="J2333" t="s">
        <v>21</v>
      </c>
      <c r="K2333">
        <v>0</v>
      </c>
      <c r="M2333">
        <v>1398</v>
      </c>
    </row>
    <row r="2334" spans="1:13">
      <c r="A2334">
        <v>2328</v>
      </c>
      <c r="B2334">
        <v>108554</v>
      </c>
      <c r="C2334" t="s">
        <v>5193</v>
      </c>
      <c r="D2334" t="s">
        <v>205</v>
      </c>
      <c r="E2334" t="s">
        <v>5194</v>
      </c>
      <c r="F2334" t="str">
        <f>"00417407"</f>
        <v>00417407</v>
      </c>
      <c r="G2334" t="s">
        <v>107</v>
      </c>
      <c r="H2334" t="s">
        <v>20</v>
      </c>
      <c r="I2334">
        <v>1472</v>
      </c>
      <c r="J2334" t="s">
        <v>21</v>
      </c>
      <c r="K2334">
        <v>0</v>
      </c>
      <c r="M2334">
        <v>1575</v>
      </c>
    </row>
    <row r="2335" spans="1:13">
      <c r="A2335">
        <v>2329</v>
      </c>
      <c r="B2335">
        <v>90948</v>
      </c>
      <c r="C2335" t="s">
        <v>5195</v>
      </c>
      <c r="D2335" t="s">
        <v>180</v>
      </c>
      <c r="E2335" t="s">
        <v>5196</v>
      </c>
      <c r="F2335" t="str">
        <f>"00383958"</f>
        <v>00383958</v>
      </c>
      <c r="G2335" t="s">
        <v>2440</v>
      </c>
      <c r="H2335" t="s">
        <v>20</v>
      </c>
      <c r="I2335">
        <v>1567</v>
      </c>
      <c r="J2335" t="s">
        <v>21</v>
      </c>
      <c r="K2335">
        <v>0</v>
      </c>
      <c r="M2335">
        <v>1416</v>
      </c>
    </row>
    <row r="2336" spans="1:13">
      <c r="A2336">
        <v>2330</v>
      </c>
      <c r="B2336">
        <v>53557</v>
      </c>
      <c r="C2336" t="s">
        <v>5197</v>
      </c>
      <c r="D2336" t="s">
        <v>180</v>
      </c>
      <c r="E2336" t="s">
        <v>5198</v>
      </c>
      <c r="F2336" t="str">
        <f>"00362568"</f>
        <v>00362568</v>
      </c>
      <c r="G2336" t="s">
        <v>230</v>
      </c>
      <c r="H2336" t="s">
        <v>20</v>
      </c>
      <c r="I2336">
        <v>1545</v>
      </c>
      <c r="J2336" t="s">
        <v>21</v>
      </c>
      <c r="K2336">
        <v>0</v>
      </c>
      <c r="L2336" t="s">
        <v>35</v>
      </c>
      <c r="M2336">
        <v>1008</v>
      </c>
    </row>
    <row r="2337" spans="1:13">
      <c r="A2337">
        <v>2331</v>
      </c>
      <c r="B2337">
        <v>61314</v>
      </c>
      <c r="C2337" t="s">
        <v>5199</v>
      </c>
      <c r="D2337" t="s">
        <v>94</v>
      </c>
      <c r="E2337" t="s">
        <v>5200</v>
      </c>
      <c r="F2337" t="str">
        <f>"00362168"</f>
        <v>00362168</v>
      </c>
      <c r="G2337" t="s">
        <v>47</v>
      </c>
      <c r="H2337" t="s">
        <v>48</v>
      </c>
      <c r="I2337">
        <v>1623</v>
      </c>
      <c r="J2337" t="s">
        <v>21</v>
      </c>
      <c r="K2337">
        <v>0</v>
      </c>
      <c r="L2337" t="s">
        <v>35</v>
      </c>
      <c r="M2337">
        <v>858</v>
      </c>
    </row>
    <row r="2338" spans="1:13">
      <c r="A2338">
        <v>2332</v>
      </c>
      <c r="B2338">
        <v>101445</v>
      </c>
      <c r="C2338" t="s">
        <v>5201</v>
      </c>
      <c r="D2338" t="s">
        <v>5202</v>
      </c>
      <c r="E2338" t="s">
        <v>5203</v>
      </c>
      <c r="F2338" t="str">
        <f>"00401378"</f>
        <v>00401378</v>
      </c>
      <c r="G2338" t="s">
        <v>2369</v>
      </c>
      <c r="H2338" t="s">
        <v>241</v>
      </c>
      <c r="I2338">
        <v>1364</v>
      </c>
      <c r="J2338" t="s">
        <v>21</v>
      </c>
      <c r="K2338">
        <v>6</v>
      </c>
      <c r="M2338">
        <v>1438</v>
      </c>
    </row>
    <row r="2339" spans="1:13">
      <c r="A2339">
        <v>2333</v>
      </c>
      <c r="B2339">
        <v>74475</v>
      </c>
      <c r="C2339" t="s">
        <v>5204</v>
      </c>
      <c r="D2339" t="s">
        <v>76</v>
      </c>
      <c r="E2339" t="s">
        <v>5205</v>
      </c>
      <c r="F2339" t="str">
        <f>"00348225"</f>
        <v>00348225</v>
      </c>
      <c r="G2339" t="s">
        <v>1995</v>
      </c>
      <c r="H2339" t="s">
        <v>20</v>
      </c>
      <c r="I2339">
        <v>1508</v>
      </c>
      <c r="J2339" t="s">
        <v>21</v>
      </c>
      <c r="K2339">
        <v>0</v>
      </c>
      <c r="M2339">
        <v>1728</v>
      </c>
    </row>
    <row r="2340" spans="1:13">
      <c r="A2340">
        <v>2334</v>
      </c>
      <c r="B2340">
        <v>54682</v>
      </c>
      <c r="C2340" t="s">
        <v>5206</v>
      </c>
      <c r="D2340" t="s">
        <v>180</v>
      </c>
      <c r="E2340" t="s">
        <v>5207</v>
      </c>
      <c r="F2340" t="str">
        <f>"201512004852"</f>
        <v>201512004852</v>
      </c>
      <c r="G2340" t="s">
        <v>107</v>
      </c>
      <c r="H2340" t="s">
        <v>1671</v>
      </c>
      <c r="I2340">
        <v>1717</v>
      </c>
      <c r="J2340" t="s">
        <v>21</v>
      </c>
      <c r="K2340">
        <v>0</v>
      </c>
      <c r="M2340">
        <v>1888</v>
      </c>
    </row>
    <row r="2341" spans="1:13">
      <c r="A2341">
        <v>2335</v>
      </c>
      <c r="B2341">
        <v>64109</v>
      </c>
      <c r="C2341" t="s">
        <v>5208</v>
      </c>
      <c r="D2341" t="s">
        <v>180</v>
      </c>
      <c r="E2341" t="s">
        <v>5209</v>
      </c>
      <c r="F2341" t="str">
        <f>"00301434"</f>
        <v>00301434</v>
      </c>
      <c r="G2341" t="s">
        <v>107</v>
      </c>
      <c r="H2341" t="s">
        <v>20</v>
      </c>
      <c r="I2341">
        <v>1472</v>
      </c>
      <c r="J2341" t="s">
        <v>21</v>
      </c>
      <c r="K2341">
        <v>0</v>
      </c>
      <c r="L2341" t="s">
        <v>59</v>
      </c>
      <c r="M2341">
        <v>1017</v>
      </c>
    </row>
    <row r="2342" spans="1:13">
      <c r="A2342">
        <v>2336</v>
      </c>
      <c r="B2342">
        <v>89951</v>
      </c>
      <c r="C2342" t="s">
        <v>5210</v>
      </c>
      <c r="D2342" t="s">
        <v>80</v>
      </c>
      <c r="E2342" t="s">
        <v>5211</v>
      </c>
      <c r="F2342" t="str">
        <f>"00351783"</f>
        <v>00351783</v>
      </c>
      <c r="G2342" t="s">
        <v>5212</v>
      </c>
      <c r="H2342" t="s">
        <v>20</v>
      </c>
      <c r="I2342">
        <v>1566</v>
      </c>
      <c r="J2342" t="s">
        <v>21</v>
      </c>
      <c r="K2342">
        <v>0</v>
      </c>
      <c r="M2342">
        <v>1888</v>
      </c>
    </row>
    <row r="2343" spans="1:13">
      <c r="A2343">
        <v>2337</v>
      </c>
      <c r="B2343">
        <v>74292</v>
      </c>
      <c r="C2343" t="s">
        <v>5213</v>
      </c>
      <c r="D2343" t="s">
        <v>76</v>
      </c>
      <c r="E2343" t="s">
        <v>5214</v>
      </c>
      <c r="F2343" t="str">
        <f>"200801005401"</f>
        <v>200801005401</v>
      </c>
      <c r="G2343" t="s">
        <v>107</v>
      </c>
      <c r="H2343" t="s">
        <v>20</v>
      </c>
      <c r="I2343">
        <v>1472</v>
      </c>
      <c r="J2343" t="s">
        <v>21</v>
      </c>
      <c r="K2343">
        <v>0</v>
      </c>
      <c r="L2343" t="s">
        <v>35</v>
      </c>
      <c r="M2343">
        <v>1008</v>
      </c>
    </row>
    <row r="2344" spans="1:13">
      <c r="A2344">
        <v>2338</v>
      </c>
      <c r="B2344">
        <v>53097</v>
      </c>
      <c r="C2344" t="s">
        <v>5215</v>
      </c>
      <c r="D2344" t="s">
        <v>288</v>
      </c>
      <c r="E2344" t="s">
        <v>5216</v>
      </c>
      <c r="F2344" t="str">
        <f>"00354040"</f>
        <v>00354040</v>
      </c>
      <c r="G2344" t="s">
        <v>155</v>
      </c>
      <c r="H2344" t="s">
        <v>156</v>
      </c>
      <c r="I2344">
        <v>1342</v>
      </c>
      <c r="J2344" t="s">
        <v>21</v>
      </c>
      <c r="K2344">
        <v>0</v>
      </c>
      <c r="L2344" t="s">
        <v>112</v>
      </c>
      <c r="M2344">
        <v>1008</v>
      </c>
    </row>
    <row r="2345" spans="1:13">
      <c r="A2345">
        <v>2339</v>
      </c>
      <c r="B2345">
        <v>95115</v>
      </c>
      <c r="C2345" t="s">
        <v>5217</v>
      </c>
      <c r="D2345" t="s">
        <v>76</v>
      </c>
      <c r="E2345" t="s">
        <v>5218</v>
      </c>
      <c r="F2345" t="str">
        <f>"00410321"</f>
        <v>00410321</v>
      </c>
      <c r="G2345" t="s">
        <v>299</v>
      </c>
      <c r="H2345" t="s">
        <v>20</v>
      </c>
      <c r="I2345">
        <v>1490</v>
      </c>
      <c r="J2345" t="s">
        <v>21</v>
      </c>
      <c r="K2345">
        <v>0</v>
      </c>
      <c r="L2345" t="s">
        <v>35</v>
      </c>
      <c r="M2345">
        <v>908</v>
      </c>
    </row>
    <row r="2346" spans="1:13">
      <c r="A2346">
        <v>2340</v>
      </c>
      <c r="B2346">
        <v>72104</v>
      </c>
      <c r="C2346" t="s">
        <v>5219</v>
      </c>
      <c r="D2346" t="s">
        <v>5220</v>
      </c>
      <c r="E2346" t="s">
        <v>5221</v>
      </c>
      <c r="F2346" t="str">
        <f>"00249204"</f>
        <v>00249204</v>
      </c>
      <c r="G2346" t="s">
        <v>1556</v>
      </c>
      <c r="H2346" t="s">
        <v>20</v>
      </c>
      <c r="I2346">
        <v>1530</v>
      </c>
      <c r="J2346" t="s">
        <v>21</v>
      </c>
      <c r="K2346">
        <v>0</v>
      </c>
      <c r="M2346">
        <v>1388</v>
      </c>
    </row>
    <row r="2347" spans="1:13">
      <c r="A2347">
        <v>2341</v>
      </c>
      <c r="B2347">
        <v>105186</v>
      </c>
      <c r="C2347" t="s">
        <v>5222</v>
      </c>
      <c r="D2347" t="s">
        <v>102</v>
      </c>
      <c r="E2347" t="s">
        <v>5223</v>
      </c>
      <c r="F2347" t="str">
        <f>"00388062"</f>
        <v>00388062</v>
      </c>
      <c r="G2347" t="s">
        <v>47</v>
      </c>
      <c r="H2347" t="s">
        <v>48</v>
      </c>
      <c r="I2347">
        <v>1623</v>
      </c>
      <c r="J2347" t="s">
        <v>21</v>
      </c>
      <c r="K2347">
        <v>0</v>
      </c>
      <c r="L2347" t="s">
        <v>35</v>
      </c>
      <c r="M2347">
        <v>875</v>
      </c>
    </row>
    <row r="2348" spans="1:13">
      <c r="A2348">
        <v>2342</v>
      </c>
      <c r="B2348">
        <v>47078</v>
      </c>
      <c r="C2348" t="s">
        <v>5224</v>
      </c>
      <c r="D2348" t="s">
        <v>180</v>
      </c>
      <c r="E2348" t="s">
        <v>5225</v>
      </c>
      <c r="F2348" t="str">
        <f>"00361057"</f>
        <v>00361057</v>
      </c>
      <c r="G2348" t="s">
        <v>511</v>
      </c>
      <c r="H2348" t="s">
        <v>3640</v>
      </c>
      <c r="I2348">
        <v>1713</v>
      </c>
      <c r="J2348" t="s">
        <v>21</v>
      </c>
      <c r="K2348">
        <v>6</v>
      </c>
      <c r="L2348" t="s">
        <v>35</v>
      </c>
      <c r="M2348">
        <v>991</v>
      </c>
    </row>
    <row r="2349" spans="1:13">
      <c r="A2349">
        <v>2343</v>
      </c>
      <c r="B2349">
        <v>67727</v>
      </c>
      <c r="C2349" t="s">
        <v>5226</v>
      </c>
      <c r="D2349" t="s">
        <v>5227</v>
      </c>
      <c r="E2349" t="s">
        <v>5228</v>
      </c>
      <c r="F2349" t="str">
        <f>"00399651"</f>
        <v>00399651</v>
      </c>
      <c r="G2349" t="s">
        <v>511</v>
      </c>
      <c r="H2349" t="s">
        <v>3640</v>
      </c>
      <c r="I2349">
        <v>1713</v>
      </c>
      <c r="J2349" t="s">
        <v>21</v>
      </c>
      <c r="K2349">
        <v>6</v>
      </c>
      <c r="L2349" t="s">
        <v>35</v>
      </c>
      <c r="M2349">
        <v>835</v>
      </c>
    </row>
    <row r="2350" spans="1:13">
      <c r="A2350">
        <v>2344</v>
      </c>
      <c r="B2350">
        <v>65110</v>
      </c>
      <c r="C2350" t="s">
        <v>5229</v>
      </c>
      <c r="D2350" t="s">
        <v>5230</v>
      </c>
      <c r="E2350" t="s">
        <v>5231</v>
      </c>
      <c r="F2350" t="str">
        <f>"00362411"</f>
        <v>00362411</v>
      </c>
      <c r="G2350" t="s">
        <v>47</v>
      </c>
      <c r="H2350" t="s">
        <v>48</v>
      </c>
      <c r="I2350">
        <v>1623</v>
      </c>
      <c r="J2350" t="s">
        <v>21</v>
      </c>
      <c r="K2350">
        <v>0</v>
      </c>
      <c r="L2350" t="s">
        <v>112</v>
      </c>
      <c r="M2350">
        <v>800</v>
      </c>
    </row>
    <row r="2351" spans="1:13">
      <c r="A2351">
        <v>2345</v>
      </c>
      <c r="B2351">
        <v>92043</v>
      </c>
      <c r="C2351" t="s">
        <v>5232</v>
      </c>
      <c r="D2351" t="s">
        <v>130</v>
      </c>
      <c r="E2351" t="s">
        <v>5233</v>
      </c>
      <c r="F2351" t="str">
        <f>"00394254"</f>
        <v>00394254</v>
      </c>
      <c r="G2351" t="s">
        <v>29</v>
      </c>
      <c r="H2351" t="s">
        <v>20</v>
      </c>
      <c r="I2351">
        <v>1446</v>
      </c>
      <c r="J2351" t="s">
        <v>21</v>
      </c>
      <c r="K2351">
        <v>0</v>
      </c>
      <c r="L2351" t="s">
        <v>35</v>
      </c>
      <c r="M2351">
        <v>1100</v>
      </c>
    </row>
    <row r="2352" spans="1:13">
      <c r="A2352">
        <v>2346</v>
      </c>
      <c r="B2352">
        <v>51651</v>
      </c>
      <c r="C2352" t="s">
        <v>5234</v>
      </c>
      <c r="D2352" t="s">
        <v>80</v>
      </c>
      <c r="E2352" t="s">
        <v>5235</v>
      </c>
      <c r="F2352" t="str">
        <f>"00271114"</f>
        <v>00271114</v>
      </c>
      <c r="G2352" t="s">
        <v>125</v>
      </c>
      <c r="H2352" t="s">
        <v>20</v>
      </c>
      <c r="I2352">
        <v>1507</v>
      </c>
      <c r="J2352" t="s">
        <v>21</v>
      </c>
      <c r="K2352">
        <v>0</v>
      </c>
      <c r="L2352" t="s">
        <v>35</v>
      </c>
      <c r="M2352">
        <v>958</v>
      </c>
    </row>
    <row r="2353" spans="1:13">
      <c r="A2353">
        <v>2347</v>
      </c>
      <c r="B2353">
        <v>113011</v>
      </c>
      <c r="C2353" t="s">
        <v>5236</v>
      </c>
      <c r="D2353" t="s">
        <v>145</v>
      </c>
      <c r="E2353" t="s">
        <v>5237</v>
      </c>
      <c r="F2353" t="str">
        <f>"00410842"</f>
        <v>00410842</v>
      </c>
      <c r="G2353" t="s">
        <v>107</v>
      </c>
      <c r="H2353" t="s">
        <v>20</v>
      </c>
      <c r="I2353">
        <v>1472</v>
      </c>
      <c r="J2353" t="s">
        <v>21</v>
      </c>
      <c r="K2353">
        <v>0</v>
      </c>
      <c r="L2353" t="s">
        <v>112</v>
      </c>
      <c r="M2353">
        <v>808</v>
      </c>
    </row>
    <row r="2354" spans="1:13">
      <c r="A2354">
        <v>2348</v>
      </c>
      <c r="B2354">
        <v>71288</v>
      </c>
      <c r="C2354" t="s">
        <v>5238</v>
      </c>
      <c r="D2354" t="s">
        <v>90</v>
      </c>
      <c r="E2354" t="s">
        <v>5239</v>
      </c>
      <c r="F2354" t="str">
        <f>"00390205"</f>
        <v>00390205</v>
      </c>
      <c r="G2354" t="s">
        <v>230</v>
      </c>
      <c r="H2354" t="s">
        <v>20</v>
      </c>
      <c r="I2354">
        <v>1545</v>
      </c>
      <c r="J2354" t="s">
        <v>21</v>
      </c>
      <c r="K2354">
        <v>0</v>
      </c>
      <c r="M2354">
        <v>1521</v>
      </c>
    </row>
    <row r="2355" spans="1:13">
      <c r="A2355">
        <v>2349</v>
      </c>
      <c r="B2355">
        <v>107884</v>
      </c>
      <c r="C2355" t="s">
        <v>5240</v>
      </c>
      <c r="D2355" t="s">
        <v>117</v>
      </c>
      <c r="E2355" t="s">
        <v>5241</v>
      </c>
      <c r="F2355" t="str">
        <f>"00417307"</f>
        <v>00417307</v>
      </c>
      <c r="G2355" t="s">
        <v>3280</v>
      </c>
      <c r="H2355" t="s">
        <v>20</v>
      </c>
      <c r="I2355">
        <v>1557</v>
      </c>
      <c r="J2355" t="s">
        <v>21</v>
      </c>
      <c r="K2355">
        <v>6</v>
      </c>
      <c r="L2355" t="s">
        <v>35</v>
      </c>
      <c r="M2355">
        <v>1335</v>
      </c>
    </row>
    <row r="2356" spans="1:13">
      <c r="A2356">
        <v>2350</v>
      </c>
      <c r="B2356">
        <v>48294</v>
      </c>
      <c r="C2356" t="s">
        <v>5242</v>
      </c>
      <c r="D2356" t="s">
        <v>90</v>
      </c>
      <c r="E2356" t="s">
        <v>5243</v>
      </c>
      <c r="F2356" t="str">
        <f>"00354778"</f>
        <v>00354778</v>
      </c>
      <c r="G2356" t="s">
        <v>593</v>
      </c>
      <c r="H2356" t="s">
        <v>20</v>
      </c>
      <c r="I2356">
        <v>1444</v>
      </c>
      <c r="J2356" t="s">
        <v>21</v>
      </c>
      <c r="K2356">
        <v>0</v>
      </c>
      <c r="M2356">
        <v>1628</v>
      </c>
    </row>
    <row r="2357" spans="1:13">
      <c r="A2357">
        <v>2351</v>
      </c>
      <c r="B2357">
        <v>115196</v>
      </c>
      <c r="C2357" t="s">
        <v>5244</v>
      </c>
      <c r="D2357" t="s">
        <v>73</v>
      </c>
      <c r="E2357" t="s">
        <v>5245</v>
      </c>
      <c r="F2357" t="str">
        <f>"00252494"</f>
        <v>00252494</v>
      </c>
      <c r="G2357" t="s">
        <v>107</v>
      </c>
      <c r="H2357" t="s">
        <v>20</v>
      </c>
      <c r="I2357">
        <v>1472</v>
      </c>
      <c r="J2357" t="s">
        <v>21</v>
      </c>
      <c r="K2357">
        <v>0</v>
      </c>
      <c r="L2357" t="s">
        <v>83</v>
      </c>
      <c r="M2357">
        <v>1228</v>
      </c>
    </row>
    <row r="2358" spans="1:13">
      <c r="A2358">
        <v>2352</v>
      </c>
      <c r="B2358">
        <v>115746</v>
      </c>
      <c r="C2358" t="s">
        <v>5246</v>
      </c>
      <c r="D2358" t="s">
        <v>249</v>
      </c>
      <c r="E2358" t="s">
        <v>5247</v>
      </c>
      <c r="F2358" t="str">
        <f>"00154258"</f>
        <v>00154258</v>
      </c>
      <c r="G2358" t="s">
        <v>125</v>
      </c>
      <c r="H2358" t="s">
        <v>20</v>
      </c>
      <c r="I2358">
        <v>1507</v>
      </c>
      <c r="J2358" t="s">
        <v>21</v>
      </c>
      <c r="K2358">
        <v>0</v>
      </c>
      <c r="L2358" t="s">
        <v>88</v>
      </c>
      <c r="M2358">
        <v>750</v>
      </c>
    </row>
    <row r="2359" spans="1:13">
      <c r="A2359">
        <v>2353</v>
      </c>
      <c r="B2359">
        <v>68961</v>
      </c>
      <c r="C2359" t="s">
        <v>5248</v>
      </c>
      <c r="D2359" t="s">
        <v>105</v>
      </c>
      <c r="E2359" t="s">
        <v>5249</v>
      </c>
      <c r="F2359" t="str">
        <f>"00373018"</f>
        <v>00373018</v>
      </c>
      <c r="G2359" t="s">
        <v>38</v>
      </c>
      <c r="H2359" t="s">
        <v>39</v>
      </c>
      <c r="I2359">
        <v>1634</v>
      </c>
      <c r="J2359" t="s">
        <v>21</v>
      </c>
      <c r="K2359">
        <v>6</v>
      </c>
      <c r="L2359" t="s">
        <v>112</v>
      </c>
      <c r="M2359">
        <v>408</v>
      </c>
    </row>
    <row r="2360" spans="1:13">
      <c r="A2360">
        <v>2354</v>
      </c>
      <c r="B2360">
        <v>96836</v>
      </c>
      <c r="C2360" t="s">
        <v>5250</v>
      </c>
      <c r="D2360" t="s">
        <v>90</v>
      </c>
      <c r="E2360" t="s">
        <v>5251</v>
      </c>
      <c r="F2360" t="str">
        <f>"00196794"</f>
        <v>00196794</v>
      </c>
      <c r="G2360" t="s">
        <v>329</v>
      </c>
      <c r="H2360" t="s">
        <v>20</v>
      </c>
      <c r="I2360">
        <v>1509</v>
      </c>
      <c r="J2360" t="s">
        <v>21</v>
      </c>
      <c r="K2360">
        <v>0</v>
      </c>
      <c r="M2360">
        <v>1383</v>
      </c>
    </row>
    <row r="2361" spans="1:13">
      <c r="A2361">
        <v>2355</v>
      </c>
      <c r="B2361">
        <v>112630</v>
      </c>
      <c r="C2361" t="s">
        <v>5252</v>
      </c>
      <c r="D2361" t="s">
        <v>198</v>
      </c>
      <c r="E2361" t="s">
        <v>5253</v>
      </c>
      <c r="F2361" t="str">
        <f>"00388093"</f>
        <v>00388093</v>
      </c>
      <c r="G2361" t="s">
        <v>211</v>
      </c>
      <c r="H2361" t="s">
        <v>48</v>
      </c>
      <c r="I2361">
        <v>1628</v>
      </c>
      <c r="J2361" t="s">
        <v>21</v>
      </c>
      <c r="K2361">
        <v>0</v>
      </c>
      <c r="L2361" t="s">
        <v>35</v>
      </c>
      <c r="M2361">
        <v>858</v>
      </c>
    </row>
    <row r="2362" spans="1:13">
      <c r="A2362">
        <v>2356</v>
      </c>
      <c r="B2362">
        <v>47208</v>
      </c>
      <c r="C2362" t="s">
        <v>5254</v>
      </c>
      <c r="D2362" t="s">
        <v>80</v>
      </c>
      <c r="E2362" t="s">
        <v>5255</v>
      </c>
      <c r="F2362" t="str">
        <f>"00251793"</f>
        <v>00251793</v>
      </c>
      <c r="G2362" t="s">
        <v>371</v>
      </c>
      <c r="H2362" t="s">
        <v>20</v>
      </c>
      <c r="I2362">
        <v>1526</v>
      </c>
      <c r="J2362" t="s">
        <v>21</v>
      </c>
      <c r="K2362">
        <v>6</v>
      </c>
      <c r="L2362" t="s">
        <v>35</v>
      </c>
      <c r="M2362">
        <v>408</v>
      </c>
    </row>
    <row r="2363" spans="1:13">
      <c r="A2363">
        <v>2357</v>
      </c>
      <c r="B2363">
        <v>67997</v>
      </c>
      <c r="C2363" t="s">
        <v>5256</v>
      </c>
      <c r="D2363" t="s">
        <v>130</v>
      </c>
      <c r="E2363" t="s">
        <v>5257</v>
      </c>
      <c r="F2363" t="str">
        <f>"00266599"</f>
        <v>00266599</v>
      </c>
      <c r="G2363" t="s">
        <v>1100</v>
      </c>
      <c r="H2363" t="s">
        <v>234</v>
      </c>
      <c r="I2363">
        <v>1344</v>
      </c>
      <c r="J2363" t="s">
        <v>21</v>
      </c>
      <c r="K2363">
        <v>6</v>
      </c>
      <c r="M2363">
        <v>1337</v>
      </c>
    </row>
    <row r="2364" spans="1:13">
      <c r="A2364">
        <v>2358</v>
      </c>
      <c r="B2364">
        <v>84593</v>
      </c>
      <c r="C2364" t="s">
        <v>5258</v>
      </c>
      <c r="D2364" t="s">
        <v>102</v>
      </c>
      <c r="E2364" t="s">
        <v>5259</v>
      </c>
      <c r="F2364" t="str">
        <f>"00386756"</f>
        <v>00386756</v>
      </c>
      <c r="G2364" t="s">
        <v>63</v>
      </c>
      <c r="H2364" t="s">
        <v>20</v>
      </c>
      <c r="I2364">
        <v>1576</v>
      </c>
      <c r="J2364" t="s">
        <v>21</v>
      </c>
      <c r="K2364">
        <v>0</v>
      </c>
      <c r="L2364" t="s">
        <v>88</v>
      </c>
      <c r="M2364">
        <v>508</v>
      </c>
    </row>
    <row r="2365" spans="1:13">
      <c r="A2365">
        <v>2359</v>
      </c>
      <c r="B2365">
        <v>96347</v>
      </c>
      <c r="C2365" t="s">
        <v>5260</v>
      </c>
      <c r="D2365" t="s">
        <v>180</v>
      </c>
      <c r="E2365" t="s">
        <v>5261</v>
      </c>
      <c r="F2365" t="str">
        <f>"00420092"</f>
        <v>00420092</v>
      </c>
      <c r="G2365" t="s">
        <v>3854</v>
      </c>
      <c r="H2365" t="s">
        <v>308</v>
      </c>
      <c r="I2365">
        <v>1591</v>
      </c>
      <c r="J2365" t="s">
        <v>21</v>
      </c>
      <c r="K2365">
        <v>0</v>
      </c>
      <c r="L2365" t="s">
        <v>35</v>
      </c>
      <c r="M2365">
        <v>1008</v>
      </c>
    </row>
    <row r="2366" spans="1:13">
      <c r="A2366">
        <v>2360</v>
      </c>
      <c r="B2366">
        <v>84281</v>
      </c>
      <c r="C2366" t="s">
        <v>5262</v>
      </c>
      <c r="D2366" t="s">
        <v>209</v>
      </c>
      <c r="E2366" t="s">
        <v>5263</v>
      </c>
      <c r="F2366" t="str">
        <f>"00406511"</f>
        <v>00406511</v>
      </c>
      <c r="G2366" t="s">
        <v>258</v>
      </c>
      <c r="H2366" t="s">
        <v>20</v>
      </c>
      <c r="I2366">
        <v>1484</v>
      </c>
      <c r="J2366" t="s">
        <v>21</v>
      </c>
      <c r="K2366">
        <v>0</v>
      </c>
      <c r="L2366" t="s">
        <v>35</v>
      </c>
      <c r="M2366">
        <v>875</v>
      </c>
    </row>
    <row r="2367" spans="1:13">
      <c r="A2367">
        <v>2361</v>
      </c>
      <c r="B2367">
        <v>90892</v>
      </c>
      <c r="C2367" t="s">
        <v>5264</v>
      </c>
      <c r="D2367" t="s">
        <v>334</v>
      </c>
      <c r="E2367" t="s">
        <v>5265</v>
      </c>
      <c r="F2367" t="str">
        <f>"00392000"</f>
        <v>00392000</v>
      </c>
      <c r="G2367" t="s">
        <v>1084</v>
      </c>
      <c r="H2367" t="s">
        <v>1085</v>
      </c>
      <c r="I2367">
        <v>1588</v>
      </c>
      <c r="J2367" t="s">
        <v>21</v>
      </c>
      <c r="K2367">
        <v>0</v>
      </c>
      <c r="L2367" t="s">
        <v>35</v>
      </c>
      <c r="M2367">
        <v>858</v>
      </c>
    </row>
    <row r="2368" spans="1:13">
      <c r="A2368">
        <v>2362</v>
      </c>
      <c r="B2368">
        <v>95906</v>
      </c>
      <c r="C2368" t="s">
        <v>5266</v>
      </c>
      <c r="D2368" t="s">
        <v>102</v>
      </c>
      <c r="E2368" t="s">
        <v>5267</v>
      </c>
      <c r="F2368" t="str">
        <f>"00233730"</f>
        <v>00233730</v>
      </c>
      <c r="G2368" t="s">
        <v>125</v>
      </c>
      <c r="H2368" t="s">
        <v>20</v>
      </c>
      <c r="I2368">
        <v>1507</v>
      </c>
      <c r="J2368" t="s">
        <v>21</v>
      </c>
      <c r="K2368">
        <v>0</v>
      </c>
      <c r="L2368" t="s">
        <v>35</v>
      </c>
      <c r="M2368">
        <v>1135</v>
      </c>
    </row>
    <row r="2369" spans="1:13">
      <c r="A2369">
        <v>2363</v>
      </c>
      <c r="B2369">
        <v>74457</v>
      </c>
      <c r="C2369" t="s">
        <v>5268</v>
      </c>
      <c r="D2369" t="s">
        <v>76</v>
      </c>
      <c r="E2369" t="s">
        <v>5269</v>
      </c>
      <c r="F2369" t="str">
        <f>"00389146"</f>
        <v>00389146</v>
      </c>
      <c r="G2369" t="s">
        <v>107</v>
      </c>
      <c r="H2369" t="s">
        <v>20</v>
      </c>
      <c r="I2369">
        <v>1472</v>
      </c>
      <c r="J2369" t="s">
        <v>21</v>
      </c>
      <c r="K2369">
        <v>0</v>
      </c>
      <c r="L2369" t="s">
        <v>35</v>
      </c>
      <c r="M2369">
        <v>1008</v>
      </c>
    </row>
    <row r="2370" spans="1:13">
      <c r="A2370">
        <v>2364</v>
      </c>
      <c r="B2370">
        <v>87247</v>
      </c>
      <c r="C2370" t="s">
        <v>5270</v>
      </c>
      <c r="D2370" t="s">
        <v>563</v>
      </c>
      <c r="E2370" t="s">
        <v>5271</v>
      </c>
      <c r="F2370" t="str">
        <f>"00290416"</f>
        <v>00290416</v>
      </c>
      <c r="G2370" t="s">
        <v>19</v>
      </c>
      <c r="H2370" t="s">
        <v>20</v>
      </c>
      <c r="I2370">
        <v>1531</v>
      </c>
      <c r="J2370" t="s">
        <v>21</v>
      </c>
      <c r="K2370">
        <v>0</v>
      </c>
      <c r="L2370" t="s">
        <v>35</v>
      </c>
      <c r="M2370">
        <v>908</v>
      </c>
    </row>
    <row r="2371" spans="1:13">
      <c r="A2371">
        <v>2365</v>
      </c>
      <c r="B2371">
        <v>104749</v>
      </c>
      <c r="C2371" t="s">
        <v>5272</v>
      </c>
      <c r="D2371" t="s">
        <v>243</v>
      </c>
      <c r="E2371" t="s">
        <v>5273</v>
      </c>
      <c r="F2371" t="str">
        <f>"200902000220"</f>
        <v>200902000220</v>
      </c>
      <c r="G2371" t="s">
        <v>258</v>
      </c>
      <c r="H2371" t="s">
        <v>20</v>
      </c>
      <c r="I2371">
        <v>1484</v>
      </c>
      <c r="J2371" t="s">
        <v>21</v>
      </c>
      <c r="K2371">
        <v>0</v>
      </c>
      <c r="L2371" t="s">
        <v>59</v>
      </c>
      <c r="M2371">
        <v>788</v>
      </c>
    </row>
    <row r="2372" spans="1:13">
      <c r="A2372">
        <v>2366</v>
      </c>
      <c r="B2372">
        <v>84155</v>
      </c>
      <c r="C2372" t="s">
        <v>5274</v>
      </c>
      <c r="D2372" t="s">
        <v>5275</v>
      </c>
      <c r="E2372" t="s">
        <v>5276</v>
      </c>
      <c r="F2372" t="str">
        <f>"201401000444"</f>
        <v>201401000444</v>
      </c>
      <c r="G2372" t="s">
        <v>600</v>
      </c>
      <c r="H2372" t="s">
        <v>1820</v>
      </c>
      <c r="I2372">
        <v>1721</v>
      </c>
      <c r="J2372" t="s">
        <v>21</v>
      </c>
      <c r="K2372">
        <v>0</v>
      </c>
      <c r="M2372">
        <v>1488</v>
      </c>
    </row>
    <row r="2373" spans="1:13">
      <c r="A2373">
        <v>2367</v>
      </c>
      <c r="B2373">
        <v>70030</v>
      </c>
      <c r="C2373" t="s">
        <v>5277</v>
      </c>
      <c r="D2373" t="s">
        <v>180</v>
      </c>
      <c r="E2373" t="s">
        <v>5278</v>
      </c>
      <c r="F2373" t="str">
        <f>"00381947"</f>
        <v>00381947</v>
      </c>
      <c r="G2373" t="s">
        <v>87</v>
      </c>
      <c r="H2373" t="s">
        <v>20</v>
      </c>
      <c r="I2373">
        <v>1436</v>
      </c>
      <c r="J2373" t="s">
        <v>21</v>
      </c>
      <c r="K2373">
        <v>0</v>
      </c>
      <c r="M2373">
        <v>1358</v>
      </c>
    </row>
    <row r="2374" spans="1:13">
      <c r="A2374">
        <v>2368</v>
      </c>
      <c r="B2374">
        <v>98932</v>
      </c>
      <c r="C2374" t="s">
        <v>5279</v>
      </c>
      <c r="D2374" t="s">
        <v>756</v>
      </c>
      <c r="E2374" t="s">
        <v>5280</v>
      </c>
      <c r="F2374" t="str">
        <f>"00017404"</f>
        <v>00017404</v>
      </c>
      <c r="G2374" t="s">
        <v>728</v>
      </c>
      <c r="H2374" t="s">
        <v>20</v>
      </c>
      <c r="I2374">
        <v>1551</v>
      </c>
      <c r="J2374" t="s">
        <v>21</v>
      </c>
      <c r="K2374">
        <v>6</v>
      </c>
      <c r="L2374" t="s">
        <v>35</v>
      </c>
      <c r="M2374">
        <v>808</v>
      </c>
    </row>
    <row r="2375" spans="1:13">
      <c r="A2375">
        <v>2369</v>
      </c>
      <c r="B2375">
        <v>61294</v>
      </c>
      <c r="C2375" t="s">
        <v>5281</v>
      </c>
      <c r="D2375" t="s">
        <v>76</v>
      </c>
      <c r="E2375" t="s">
        <v>5282</v>
      </c>
      <c r="F2375" t="str">
        <f>"00364151"</f>
        <v>00364151</v>
      </c>
      <c r="G2375" t="s">
        <v>405</v>
      </c>
      <c r="H2375" t="s">
        <v>20</v>
      </c>
      <c r="I2375">
        <v>1448</v>
      </c>
      <c r="J2375" t="s">
        <v>21</v>
      </c>
      <c r="K2375">
        <v>6</v>
      </c>
      <c r="L2375" t="s">
        <v>35</v>
      </c>
      <c r="M2375">
        <v>1005</v>
      </c>
    </row>
    <row r="2376" spans="1:13">
      <c r="A2376">
        <v>2370</v>
      </c>
      <c r="B2376">
        <v>94588</v>
      </c>
      <c r="C2376" t="s">
        <v>5283</v>
      </c>
      <c r="D2376" t="s">
        <v>76</v>
      </c>
      <c r="E2376" t="s">
        <v>5284</v>
      </c>
      <c r="F2376" t="str">
        <f>"00045844"</f>
        <v>00045844</v>
      </c>
      <c r="G2376" t="s">
        <v>856</v>
      </c>
      <c r="H2376" t="s">
        <v>366</v>
      </c>
      <c r="I2376">
        <v>1706</v>
      </c>
      <c r="J2376" t="s">
        <v>21</v>
      </c>
      <c r="K2376">
        <v>0</v>
      </c>
      <c r="L2376" t="s">
        <v>59</v>
      </c>
      <c r="M2376">
        <v>878</v>
      </c>
    </row>
    <row r="2377" spans="1:13">
      <c r="A2377">
        <v>2371</v>
      </c>
      <c r="B2377">
        <v>81241</v>
      </c>
      <c r="C2377" t="s">
        <v>5285</v>
      </c>
      <c r="D2377" t="s">
        <v>756</v>
      </c>
      <c r="E2377" t="s">
        <v>5286</v>
      </c>
      <c r="F2377" t="str">
        <f>"00240034"</f>
        <v>00240034</v>
      </c>
      <c r="G2377" t="s">
        <v>352</v>
      </c>
      <c r="H2377" t="s">
        <v>20</v>
      </c>
      <c r="I2377">
        <v>1471</v>
      </c>
      <c r="J2377" t="s">
        <v>21</v>
      </c>
      <c r="K2377">
        <v>0</v>
      </c>
      <c r="L2377" t="s">
        <v>35</v>
      </c>
      <c r="M2377">
        <v>953</v>
      </c>
    </row>
    <row r="2378" spans="1:13">
      <c r="A2378">
        <v>2372</v>
      </c>
      <c r="B2378">
        <v>46948</v>
      </c>
      <c r="C2378" t="s">
        <v>5287</v>
      </c>
      <c r="D2378" t="s">
        <v>102</v>
      </c>
      <c r="E2378" t="s">
        <v>5288</v>
      </c>
      <c r="F2378" t="str">
        <f>"00308888"</f>
        <v>00308888</v>
      </c>
      <c r="G2378" t="s">
        <v>371</v>
      </c>
      <c r="H2378" t="s">
        <v>20</v>
      </c>
      <c r="I2378">
        <v>1526</v>
      </c>
      <c r="J2378" t="s">
        <v>21</v>
      </c>
      <c r="K2378">
        <v>6</v>
      </c>
      <c r="L2378" t="s">
        <v>35</v>
      </c>
      <c r="M2378">
        <v>500</v>
      </c>
    </row>
    <row r="2379" spans="1:13">
      <c r="A2379">
        <v>2373</v>
      </c>
      <c r="B2379">
        <v>66075</v>
      </c>
      <c r="C2379" t="s">
        <v>5289</v>
      </c>
      <c r="D2379" t="s">
        <v>180</v>
      </c>
      <c r="E2379" t="s">
        <v>5290</v>
      </c>
      <c r="F2379" t="str">
        <f>"00399798"</f>
        <v>00399798</v>
      </c>
      <c r="G2379" t="s">
        <v>19</v>
      </c>
      <c r="H2379" t="s">
        <v>20</v>
      </c>
      <c r="I2379">
        <v>1531</v>
      </c>
      <c r="J2379" t="s">
        <v>21</v>
      </c>
      <c r="K2379">
        <v>0</v>
      </c>
      <c r="L2379" t="s">
        <v>35</v>
      </c>
      <c r="M2379">
        <v>875</v>
      </c>
    </row>
    <row r="2380" spans="1:13">
      <c r="A2380">
        <v>2374</v>
      </c>
      <c r="B2380">
        <v>60588</v>
      </c>
      <c r="C2380" t="s">
        <v>5291</v>
      </c>
      <c r="D2380" t="s">
        <v>76</v>
      </c>
      <c r="E2380" t="s">
        <v>5292</v>
      </c>
      <c r="F2380" t="str">
        <f>"00379254"</f>
        <v>00379254</v>
      </c>
      <c r="G2380" t="s">
        <v>240</v>
      </c>
      <c r="H2380" t="s">
        <v>241</v>
      </c>
      <c r="I2380">
        <v>1366</v>
      </c>
      <c r="J2380" t="s">
        <v>21</v>
      </c>
      <c r="K2380">
        <v>6</v>
      </c>
      <c r="M2380">
        <v>1340</v>
      </c>
    </row>
    <row r="2381" spans="1:13">
      <c r="A2381">
        <v>2375</v>
      </c>
      <c r="B2381">
        <v>61596</v>
      </c>
      <c r="C2381" t="s">
        <v>5293</v>
      </c>
      <c r="D2381" t="s">
        <v>209</v>
      </c>
      <c r="E2381" t="s">
        <v>5294</v>
      </c>
      <c r="F2381" t="str">
        <f>"00360660"</f>
        <v>00360660</v>
      </c>
      <c r="G2381" t="s">
        <v>380</v>
      </c>
      <c r="H2381" t="s">
        <v>137</v>
      </c>
      <c r="I2381">
        <v>1615</v>
      </c>
      <c r="J2381" t="s">
        <v>21</v>
      </c>
      <c r="K2381">
        <v>0</v>
      </c>
      <c r="M2381">
        <v>1488</v>
      </c>
    </row>
    <row r="2382" spans="1:13">
      <c r="A2382">
        <v>2376</v>
      </c>
      <c r="B2382">
        <v>81878</v>
      </c>
      <c r="C2382" t="s">
        <v>5295</v>
      </c>
      <c r="D2382" t="s">
        <v>243</v>
      </c>
      <c r="E2382" t="s">
        <v>5296</v>
      </c>
      <c r="F2382" t="str">
        <f>"00042791"</f>
        <v>00042791</v>
      </c>
      <c r="G2382" t="s">
        <v>215</v>
      </c>
      <c r="H2382" t="s">
        <v>216</v>
      </c>
      <c r="I2382">
        <v>1708</v>
      </c>
      <c r="J2382" t="s">
        <v>21</v>
      </c>
      <c r="K2382">
        <v>6</v>
      </c>
      <c r="M2382">
        <v>1451</v>
      </c>
    </row>
    <row r="2383" spans="1:13">
      <c r="A2383">
        <v>2377</v>
      </c>
      <c r="B2383">
        <v>51237</v>
      </c>
      <c r="C2383" t="s">
        <v>5297</v>
      </c>
      <c r="D2383" t="s">
        <v>700</v>
      </c>
      <c r="E2383" t="s">
        <v>5298</v>
      </c>
      <c r="F2383" t="str">
        <f>"00362513"</f>
        <v>00362513</v>
      </c>
      <c r="G2383" t="s">
        <v>107</v>
      </c>
      <c r="H2383" t="s">
        <v>20</v>
      </c>
      <c r="I2383">
        <v>1472</v>
      </c>
      <c r="J2383" t="s">
        <v>21</v>
      </c>
      <c r="K2383">
        <v>0</v>
      </c>
      <c r="L2383" t="s">
        <v>35</v>
      </c>
      <c r="M2383">
        <v>924</v>
      </c>
    </row>
    <row r="2384" spans="1:13">
      <c r="A2384">
        <v>2378</v>
      </c>
      <c r="B2384">
        <v>54650</v>
      </c>
      <c r="C2384" t="s">
        <v>5299</v>
      </c>
      <c r="D2384" t="s">
        <v>76</v>
      </c>
      <c r="E2384" t="s">
        <v>5300</v>
      </c>
      <c r="F2384" t="str">
        <f>"00250486"</f>
        <v>00250486</v>
      </c>
      <c r="G2384" t="s">
        <v>1682</v>
      </c>
      <c r="H2384" t="s">
        <v>751</v>
      </c>
      <c r="I2384">
        <v>1320</v>
      </c>
      <c r="J2384" t="s">
        <v>21</v>
      </c>
      <c r="K2384">
        <v>0</v>
      </c>
      <c r="L2384" t="s">
        <v>35</v>
      </c>
      <c r="M2384">
        <v>1408</v>
      </c>
    </row>
    <row r="2385" spans="1:13">
      <c r="A2385">
        <v>2379</v>
      </c>
      <c r="B2385">
        <v>83558</v>
      </c>
      <c r="C2385" t="s">
        <v>5301</v>
      </c>
      <c r="D2385" t="s">
        <v>243</v>
      </c>
      <c r="E2385" t="s">
        <v>5302</v>
      </c>
      <c r="F2385" t="str">
        <f>"00287197"</f>
        <v>00287197</v>
      </c>
      <c r="G2385" t="s">
        <v>150</v>
      </c>
      <c r="H2385" t="s">
        <v>151</v>
      </c>
      <c r="I2385">
        <v>1699</v>
      </c>
      <c r="J2385" t="s">
        <v>21</v>
      </c>
      <c r="K2385">
        <v>0</v>
      </c>
      <c r="L2385" t="s">
        <v>35</v>
      </c>
      <c r="M2385">
        <v>872</v>
      </c>
    </row>
    <row r="2386" spans="1:13">
      <c r="A2386">
        <v>2380</v>
      </c>
      <c r="B2386">
        <v>60213</v>
      </c>
      <c r="C2386" t="s">
        <v>5303</v>
      </c>
      <c r="D2386" t="s">
        <v>209</v>
      </c>
      <c r="E2386" t="s">
        <v>5304</v>
      </c>
      <c r="F2386" t="str">
        <f>"00350591"</f>
        <v>00350591</v>
      </c>
      <c r="G2386" t="s">
        <v>29</v>
      </c>
      <c r="H2386" t="s">
        <v>20</v>
      </c>
      <c r="I2386">
        <v>1446</v>
      </c>
      <c r="J2386" t="s">
        <v>21</v>
      </c>
      <c r="K2386">
        <v>0</v>
      </c>
      <c r="M2386">
        <v>1534</v>
      </c>
    </row>
    <row r="2387" spans="1:13">
      <c r="A2387">
        <v>2381</v>
      </c>
      <c r="B2387">
        <v>108449</v>
      </c>
      <c r="C2387" t="s">
        <v>5305</v>
      </c>
      <c r="D2387" t="s">
        <v>130</v>
      </c>
      <c r="E2387" t="s">
        <v>5306</v>
      </c>
      <c r="F2387" t="str">
        <f>"00418421"</f>
        <v>00418421</v>
      </c>
      <c r="G2387" t="s">
        <v>1155</v>
      </c>
      <c r="H2387" t="s">
        <v>20</v>
      </c>
      <c r="I2387">
        <v>1480</v>
      </c>
      <c r="J2387" t="s">
        <v>21</v>
      </c>
      <c r="K2387">
        <v>0</v>
      </c>
      <c r="M2387">
        <v>1679</v>
      </c>
    </row>
    <row r="2388" spans="1:13">
      <c r="A2388">
        <v>2382</v>
      </c>
      <c r="B2388">
        <v>91078</v>
      </c>
      <c r="C2388" t="s">
        <v>5307</v>
      </c>
      <c r="D2388" t="s">
        <v>1001</v>
      </c>
      <c r="E2388" t="s">
        <v>5308</v>
      </c>
      <c r="F2388" t="str">
        <f>"00029102"</f>
        <v>00029102</v>
      </c>
      <c r="G2388" t="s">
        <v>763</v>
      </c>
      <c r="H2388" t="s">
        <v>20</v>
      </c>
      <c r="I2388">
        <v>1430</v>
      </c>
      <c r="J2388" t="s">
        <v>21</v>
      </c>
      <c r="K2388">
        <v>0</v>
      </c>
      <c r="M2388">
        <v>1438</v>
      </c>
    </row>
    <row r="2389" spans="1:13">
      <c r="A2389">
        <v>2383</v>
      </c>
      <c r="B2389">
        <v>113208</v>
      </c>
      <c r="C2389" t="s">
        <v>5309</v>
      </c>
      <c r="D2389" t="s">
        <v>2454</v>
      </c>
      <c r="E2389" t="s">
        <v>5310</v>
      </c>
      <c r="F2389" t="str">
        <f>"00422778"</f>
        <v>00422778</v>
      </c>
      <c r="G2389" t="s">
        <v>2440</v>
      </c>
      <c r="H2389" t="s">
        <v>20</v>
      </c>
      <c r="I2389">
        <v>1567</v>
      </c>
      <c r="J2389" t="s">
        <v>21</v>
      </c>
      <c r="K2389">
        <v>0</v>
      </c>
      <c r="L2389" t="s">
        <v>35</v>
      </c>
      <c r="M2389">
        <v>1058</v>
      </c>
    </row>
    <row r="2390" spans="1:13">
      <c r="A2390">
        <v>2384</v>
      </c>
      <c r="B2390">
        <v>79053</v>
      </c>
      <c r="C2390" t="s">
        <v>5311</v>
      </c>
      <c r="D2390" t="s">
        <v>2454</v>
      </c>
      <c r="E2390" t="s">
        <v>5312</v>
      </c>
      <c r="F2390" t="str">
        <f>"00388243"</f>
        <v>00388243</v>
      </c>
      <c r="G2390" t="s">
        <v>468</v>
      </c>
      <c r="H2390" t="s">
        <v>20</v>
      </c>
      <c r="I2390">
        <v>1569</v>
      </c>
      <c r="J2390" t="s">
        <v>21</v>
      </c>
      <c r="K2390">
        <v>0</v>
      </c>
      <c r="L2390" t="s">
        <v>35</v>
      </c>
      <c r="M2390">
        <v>958</v>
      </c>
    </row>
    <row r="2391" spans="1:13">
      <c r="A2391">
        <v>2385</v>
      </c>
      <c r="B2391">
        <v>108238</v>
      </c>
      <c r="C2391" t="s">
        <v>5313</v>
      </c>
      <c r="D2391" t="s">
        <v>102</v>
      </c>
      <c r="E2391" t="s">
        <v>5314</v>
      </c>
      <c r="F2391" t="str">
        <f>"00363306"</f>
        <v>00363306</v>
      </c>
      <c r="G2391" t="s">
        <v>47</v>
      </c>
      <c r="H2391" t="s">
        <v>48</v>
      </c>
      <c r="I2391">
        <v>1623</v>
      </c>
      <c r="J2391" t="s">
        <v>21</v>
      </c>
      <c r="K2391">
        <v>0</v>
      </c>
      <c r="L2391" t="s">
        <v>35</v>
      </c>
      <c r="M2391">
        <v>1036</v>
      </c>
    </row>
    <row r="2392" spans="1:13">
      <c r="A2392">
        <v>2386</v>
      </c>
      <c r="B2392">
        <v>69070</v>
      </c>
      <c r="C2392" t="s">
        <v>5315</v>
      </c>
      <c r="D2392" t="s">
        <v>145</v>
      </c>
      <c r="E2392" t="s">
        <v>5316</v>
      </c>
      <c r="F2392" t="str">
        <f>"00397637"</f>
        <v>00397637</v>
      </c>
      <c r="G2392" t="s">
        <v>994</v>
      </c>
      <c r="H2392" t="s">
        <v>20</v>
      </c>
      <c r="I2392">
        <v>1522</v>
      </c>
      <c r="J2392" t="s">
        <v>21</v>
      </c>
      <c r="K2392">
        <v>0</v>
      </c>
      <c r="L2392" t="s">
        <v>35</v>
      </c>
      <c r="M2392">
        <v>958</v>
      </c>
    </row>
    <row r="2393" spans="1:13">
      <c r="A2393">
        <v>2387</v>
      </c>
      <c r="B2393">
        <v>82164</v>
      </c>
      <c r="C2393" t="s">
        <v>5317</v>
      </c>
      <c r="D2393" t="s">
        <v>76</v>
      </c>
      <c r="E2393" t="s">
        <v>5318</v>
      </c>
      <c r="F2393" t="str">
        <f>"00069725"</f>
        <v>00069725</v>
      </c>
      <c r="G2393" t="s">
        <v>47</v>
      </c>
      <c r="H2393" t="s">
        <v>48</v>
      </c>
      <c r="I2393">
        <v>1623</v>
      </c>
      <c r="J2393" t="s">
        <v>21</v>
      </c>
      <c r="K2393">
        <v>0</v>
      </c>
      <c r="L2393" t="s">
        <v>35</v>
      </c>
      <c r="M2393">
        <v>921</v>
      </c>
    </row>
    <row r="2394" spans="1:13">
      <c r="A2394">
        <v>2388</v>
      </c>
      <c r="B2394">
        <v>92170</v>
      </c>
      <c r="C2394" t="s">
        <v>5319</v>
      </c>
      <c r="D2394" t="s">
        <v>243</v>
      </c>
      <c r="E2394" t="s">
        <v>5320</v>
      </c>
      <c r="F2394" t="str">
        <f>"201511020655"</f>
        <v>201511020655</v>
      </c>
      <c r="G2394" t="s">
        <v>196</v>
      </c>
      <c r="H2394" t="s">
        <v>20</v>
      </c>
      <c r="I2394">
        <v>1512</v>
      </c>
      <c r="J2394" t="s">
        <v>21</v>
      </c>
      <c r="K2394">
        <v>6</v>
      </c>
      <c r="L2394" t="s">
        <v>35</v>
      </c>
      <c r="M2394">
        <v>985</v>
      </c>
    </row>
    <row r="2395" spans="1:13">
      <c r="A2395">
        <v>2389</v>
      </c>
      <c r="B2395">
        <v>103932</v>
      </c>
      <c r="C2395" t="s">
        <v>5321</v>
      </c>
      <c r="D2395" t="s">
        <v>90</v>
      </c>
      <c r="E2395" t="s">
        <v>5322</v>
      </c>
      <c r="F2395" t="str">
        <f>"200801000131"</f>
        <v>200801000131</v>
      </c>
      <c r="G2395" t="s">
        <v>226</v>
      </c>
      <c r="H2395" t="s">
        <v>20</v>
      </c>
      <c r="I2395">
        <v>1510</v>
      </c>
      <c r="J2395" t="s">
        <v>21</v>
      </c>
      <c r="K2395">
        <v>0</v>
      </c>
      <c r="M2395">
        <v>1418</v>
      </c>
    </row>
    <row r="2396" spans="1:13">
      <c r="A2396">
        <v>2390</v>
      </c>
      <c r="B2396">
        <v>102334</v>
      </c>
      <c r="C2396" t="s">
        <v>5323</v>
      </c>
      <c r="D2396" t="s">
        <v>180</v>
      </c>
      <c r="E2396" t="s">
        <v>5324</v>
      </c>
      <c r="F2396" t="str">
        <f>"201511006495"</f>
        <v>201511006495</v>
      </c>
      <c r="G2396" t="s">
        <v>365</v>
      </c>
      <c r="H2396" t="s">
        <v>366</v>
      </c>
      <c r="I2396">
        <v>1692</v>
      </c>
      <c r="J2396" t="s">
        <v>21</v>
      </c>
      <c r="K2396">
        <v>0</v>
      </c>
      <c r="M2396">
        <v>1388</v>
      </c>
    </row>
    <row r="2397" spans="1:13">
      <c r="A2397">
        <v>2391</v>
      </c>
      <c r="B2397">
        <v>115957</v>
      </c>
      <c r="C2397" t="s">
        <v>5325</v>
      </c>
      <c r="D2397" t="s">
        <v>563</v>
      </c>
      <c r="E2397" t="s">
        <v>5326</v>
      </c>
      <c r="F2397" t="str">
        <f>"00308727"</f>
        <v>00308727</v>
      </c>
      <c r="G2397" t="s">
        <v>520</v>
      </c>
      <c r="H2397" t="s">
        <v>20</v>
      </c>
      <c r="I2397">
        <v>1540</v>
      </c>
      <c r="J2397" t="s">
        <v>21</v>
      </c>
      <c r="K2397">
        <v>0</v>
      </c>
      <c r="M2397">
        <v>1385</v>
      </c>
    </row>
    <row r="2398" spans="1:13">
      <c r="A2398">
        <v>2392</v>
      </c>
      <c r="B2398">
        <v>88777</v>
      </c>
      <c r="C2398" t="s">
        <v>5327</v>
      </c>
      <c r="D2398" t="s">
        <v>238</v>
      </c>
      <c r="E2398" t="s">
        <v>5328</v>
      </c>
      <c r="F2398" t="str">
        <f>"00279687"</f>
        <v>00279687</v>
      </c>
      <c r="G2398" t="s">
        <v>540</v>
      </c>
      <c r="H2398" t="s">
        <v>20</v>
      </c>
      <c r="I2398">
        <v>1435</v>
      </c>
      <c r="J2398" t="s">
        <v>21</v>
      </c>
      <c r="K2398">
        <v>0</v>
      </c>
      <c r="M2398">
        <v>1488</v>
      </c>
    </row>
    <row r="2399" spans="1:13">
      <c r="A2399">
        <v>2393</v>
      </c>
      <c r="B2399">
        <v>78291</v>
      </c>
      <c r="C2399" t="s">
        <v>5329</v>
      </c>
      <c r="D2399" t="s">
        <v>76</v>
      </c>
      <c r="E2399" t="s">
        <v>5330</v>
      </c>
      <c r="F2399" t="str">
        <f>"00384498"</f>
        <v>00384498</v>
      </c>
      <c r="G2399" t="s">
        <v>2710</v>
      </c>
      <c r="H2399" t="s">
        <v>366</v>
      </c>
      <c r="I2399">
        <v>1691</v>
      </c>
      <c r="J2399" t="s">
        <v>21</v>
      </c>
      <c r="K2399">
        <v>0</v>
      </c>
      <c r="L2399" t="s">
        <v>35</v>
      </c>
      <c r="M2399">
        <v>1008</v>
      </c>
    </row>
    <row r="2400" spans="1:13">
      <c r="A2400">
        <v>2394</v>
      </c>
      <c r="B2400">
        <v>84477</v>
      </c>
      <c r="C2400" t="s">
        <v>5331</v>
      </c>
      <c r="D2400" t="s">
        <v>288</v>
      </c>
      <c r="E2400" t="s">
        <v>5332</v>
      </c>
      <c r="F2400" t="str">
        <f>"201511007126"</f>
        <v>201511007126</v>
      </c>
      <c r="G2400" t="s">
        <v>107</v>
      </c>
      <c r="H2400" t="s">
        <v>20</v>
      </c>
      <c r="I2400">
        <v>1472</v>
      </c>
      <c r="J2400" t="s">
        <v>21</v>
      </c>
      <c r="K2400">
        <v>0</v>
      </c>
      <c r="L2400" t="s">
        <v>35</v>
      </c>
      <c r="M2400">
        <v>908</v>
      </c>
    </row>
    <row r="2401" spans="1:13">
      <c r="A2401">
        <v>2395</v>
      </c>
      <c r="B2401">
        <v>71934</v>
      </c>
      <c r="C2401" t="s">
        <v>5333</v>
      </c>
      <c r="D2401" t="s">
        <v>243</v>
      </c>
      <c r="E2401" t="s">
        <v>5334</v>
      </c>
      <c r="F2401" t="str">
        <f>"00256966"</f>
        <v>00256966</v>
      </c>
      <c r="G2401" t="s">
        <v>1742</v>
      </c>
      <c r="H2401" t="s">
        <v>241</v>
      </c>
      <c r="I2401">
        <v>1365</v>
      </c>
      <c r="J2401" t="s">
        <v>21</v>
      </c>
      <c r="K2401">
        <v>0</v>
      </c>
      <c r="L2401" t="s">
        <v>35</v>
      </c>
      <c r="M2401">
        <v>984</v>
      </c>
    </row>
    <row r="2402" spans="1:13">
      <c r="A2402">
        <v>2396</v>
      </c>
      <c r="B2402">
        <v>104183</v>
      </c>
      <c r="C2402" t="s">
        <v>5335</v>
      </c>
      <c r="D2402" t="s">
        <v>130</v>
      </c>
      <c r="E2402" t="s">
        <v>5336</v>
      </c>
      <c r="F2402" t="str">
        <f>"00404772"</f>
        <v>00404772</v>
      </c>
      <c r="G2402" t="s">
        <v>150</v>
      </c>
      <c r="H2402" t="s">
        <v>151</v>
      </c>
      <c r="I2402">
        <v>1699</v>
      </c>
      <c r="J2402" t="s">
        <v>21</v>
      </c>
      <c r="K2402">
        <v>0</v>
      </c>
      <c r="M2402">
        <v>1308</v>
      </c>
    </row>
    <row r="2403" spans="1:13">
      <c r="A2403">
        <v>2397</v>
      </c>
      <c r="B2403">
        <v>71788</v>
      </c>
      <c r="C2403" t="s">
        <v>5337</v>
      </c>
      <c r="D2403" t="s">
        <v>80</v>
      </c>
      <c r="E2403" t="s">
        <v>5338</v>
      </c>
      <c r="F2403" t="str">
        <f>"00390110"</f>
        <v>00390110</v>
      </c>
      <c r="G2403" t="s">
        <v>87</v>
      </c>
      <c r="H2403" t="s">
        <v>1671</v>
      </c>
      <c r="I2403">
        <v>1716</v>
      </c>
      <c r="J2403" t="s">
        <v>21</v>
      </c>
      <c r="K2403">
        <v>0</v>
      </c>
      <c r="M2403">
        <v>1528</v>
      </c>
    </row>
    <row r="2404" spans="1:13">
      <c r="A2404">
        <v>2398</v>
      </c>
      <c r="B2404">
        <v>57806</v>
      </c>
      <c r="C2404" t="s">
        <v>5339</v>
      </c>
      <c r="D2404" t="s">
        <v>80</v>
      </c>
      <c r="E2404" t="s">
        <v>5340</v>
      </c>
      <c r="F2404" t="str">
        <f>"00027771"</f>
        <v>00027771</v>
      </c>
      <c r="G2404" t="s">
        <v>3969</v>
      </c>
      <c r="H2404" t="s">
        <v>20</v>
      </c>
      <c r="I2404">
        <v>1517</v>
      </c>
      <c r="J2404" t="s">
        <v>21</v>
      </c>
      <c r="K2404">
        <v>0</v>
      </c>
      <c r="M2404">
        <v>1388</v>
      </c>
    </row>
    <row r="2405" spans="1:13">
      <c r="A2405">
        <v>2399</v>
      </c>
      <c r="B2405">
        <v>90456</v>
      </c>
      <c r="C2405" t="s">
        <v>5341</v>
      </c>
      <c r="D2405" t="s">
        <v>102</v>
      </c>
      <c r="E2405" t="s">
        <v>5342</v>
      </c>
      <c r="F2405" t="str">
        <f>"00406733"</f>
        <v>00406733</v>
      </c>
      <c r="G2405" t="s">
        <v>92</v>
      </c>
      <c r="H2405" t="s">
        <v>20</v>
      </c>
      <c r="I2405">
        <v>1425</v>
      </c>
      <c r="J2405" t="s">
        <v>21</v>
      </c>
      <c r="K2405">
        <v>0</v>
      </c>
      <c r="L2405" t="s">
        <v>35</v>
      </c>
      <c r="M2405">
        <v>1208</v>
      </c>
    </row>
    <row r="2406" spans="1:13">
      <c r="A2406">
        <v>2400</v>
      </c>
      <c r="B2406">
        <v>109977</v>
      </c>
      <c r="C2406" t="s">
        <v>5343</v>
      </c>
      <c r="D2406" t="s">
        <v>80</v>
      </c>
      <c r="E2406" t="s">
        <v>5344</v>
      </c>
      <c r="F2406" t="str">
        <f>"00416715"</f>
        <v>00416715</v>
      </c>
      <c r="G2406" t="s">
        <v>190</v>
      </c>
      <c r="H2406" t="s">
        <v>191</v>
      </c>
      <c r="I2406">
        <v>1618</v>
      </c>
      <c r="J2406" t="s">
        <v>21</v>
      </c>
      <c r="K2406">
        <v>0</v>
      </c>
      <c r="L2406" t="s">
        <v>35</v>
      </c>
      <c r="M2406">
        <v>1125</v>
      </c>
    </row>
    <row r="2407" spans="1:13">
      <c r="A2407">
        <v>2401</v>
      </c>
      <c r="B2407">
        <v>46565</v>
      </c>
      <c r="C2407" t="s">
        <v>5345</v>
      </c>
      <c r="D2407" t="s">
        <v>102</v>
      </c>
      <c r="E2407" t="s">
        <v>5346</v>
      </c>
      <c r="F2407" t="str">
        <f>"00348856"</f>
        <v>00348856</v>
      </c>
      <c r="G2407" t="s">
        <v>190</v>
      </c>
      <c r="H2407" t="s">
        <v>191</v>
      </c>
      <c r="I2407">
        <v>1618</v>
      </c>
      <c r="J2407" t="s">
        <v>21</v>
      </c>
      <c r="K2407">
        <v>0</v>
      </c>
      <c r="L2407" t="s">
        <v>35</v>
      </c>
      <c r="M2407">
        <v>1100</v>
      </c>
    </row>
    <row r="2408" spans="1:13">
      <c r="A2408">
        <v>2402</v>
      </c>
      <c r="B2408">
        <v>108501</v>
      </c>
      <c r="C2408" t="s">
        <v>5347</v>
      </c>
      <c r="D2408" t="s">
        <v>1001</v>
      </c>
      <c r="E2408" t="s">
        <v>5348</v>
      </c>
      <c r="F2408" t="str">
        <f>"00140626"</f>
        <v>00140626</v>
      </c>
      <c r="G2408" t="s">
        <v>147</v>
      </c>
      <c r="H2408" t="s">
        <v>20</v>
      </c>
      <c r="I2408">
        <v>1529</v>
      </c>
      <c r="J2408" t="s">
        <v>21</v>
      </c>
      <c r="K2408">
        <v>0</v>
      </c>
      <c r="L2408" t="s">
        <v>83</v>
      </c>
      <c r="M2408">
        <v>1288</v>
      </c>
    </row>
    <row r="2409" spans="1:13">
      <c r="A2409">
        <v>2403</v>
      </c>
      <c r="B2409">
        <v>54354</v>
      </c>
      <c r="C2409" t="s">
        <v>5349</v>
      </c>
      <c r="D2409" t="s">
        <v>121</v>
      </c>
      <c r="E2409" t="s">
        <v>5350</v>
      </c>
      <c r="F2409" t="str">
        <f>"00287094"</f>
        <v>00287094</v>
      </c>
      <c r="G2409" t="s">
        <v>63</v>
      </c>
      <c r="H2409" t="s">
        <v>20</v>
      </c>
      <c r="I2409">
        <v>1576</v>
      </c>
      <c r="J2409" t="s">
        <v>21</v>
      </c>
      <c r="K2409">
        <v>0</v>
      </c>
      <c r="L2409" t="s">
        <v>59</v>
      </c>
      <c r="M2409">
        <v>981</v>
      </c>
    </row>
    <row r="2410" spans="1:13">
      <c r="A2410">
        <v>2404</v>
      </c>
      <c r="B2410">
        <v>111038</v>
      </c>
      <c r="C2410" t="s">
        <v>5351</v>
      </c>
      <c r="D2410" t="s">
        <v>391</v>
      </c>
      <c r="E2410" t="s">
        <v>5352</v>
      </c>
      <c r="F2410" t="str">
        <f>"00398342"</f>
        <v>00398342</v>
      </c>
      <c r="G2410" t="s">
        <v>147</v>
      </c>
      <c r="H2410" t="s">
        <v>20</v>
      </c>
      <c r="I2410">
        <v>1529</v>
      </c>
      <c r="J2410" t="s">
        <v>21</v>
      </c>
      <c r="K2410">
        <v>0</v>
      </c>
      <c r="M2410">
        <v>1914</v>
      </c>
    </row>
    <row r="2411" spans="1:13">
      <c r="A2411">
        <v>2405</v>
      </c>
      <c r="B2411">
        <v>67025</v>
      </c>
      <c r="C2411" t="s">
        <v>5353</v>
      </c>
      <c r="D2411" t="s">
        <v>139</v>
      </c>
      <c r="E2411" t="s">
        <v>5354</v>
      </c>
      <c r="F2411" t="str">
        <f>"00307272"</f>
        <v>00307272</v>
      </c>
      <c r="G2411" t="s">
        <v>284</v>
      </c>
      <c r="H2411" t="s">
        <v>270</v>
      </c>
      <c r="I2411">
        <v>1586</v>
      </c>
      <c r="J2411" t="s">
        <v>21</v>
      </c>
      <c r="K2411">
        <v>0</v>
      </c>
      <c r="L2411" t="s">
        <v>59</v>
      </c>
      <c r="M2411">
        <v>1088</v>
      </c>
    </row>
    <row r="2412" spans="1:13">
      <c r="A2412">
        <v>2406</v>
      </c>
      <c r="B2412">
        <v>62292</v>
      </c>
      <c r="C2412" t="s">
        <v>5355</v>
      </c>
      <c r="D2412" t="s">
        <v>180</v>
      </c>
      <c r="E2412" t="s">
        <v>5356</v>
      </c>
      <c r="F2412" t="str">
        <f>"00358980"</f>
        <v>00358980</v>
      </c>
      <c r="G2412" t="s">
        <v>465</v>
      </c>
      <c r="H2412" t="s">
        <v>20</v>
      </c>
      <c r="I2412">
        <v>1534</v>
      </c>
      <c r="J2412" t="s">
        <v>21</v>
      </c>
      <c r="K2412">
        <v>0</v>
      </c>
      <c r="M2412">
        <v>1488</v>
      </c>
    </row>
    <row r="2413" spans="1:13">
      <c r="A2413">
        <v>2407</v>
      </c>
      <c r="B2413">
        <v>66848</v>
      </c>
      <c r="C2413" t="s">
        <v>5357</v>
      </c>
      <c r="D2413" t="s">
        <v>145</v>
      </c>
      <c r="E2413" t="s">
        <v>5358</v>
      </c>
      <c r="F2413" t="str">
        <f>"00402551"</f>
        <v>00402551</v>
      </c>
      <c r="G2413" t="s">
        <v>38</v>
      </c>
      <c r="H2413" t="s">
        <v>39</v>
      </c>
      <c r="I2413">
        <v>1634</v>
      </c>
      <c r="J2413" t="s">
        <v>21</v>
      </c>
      <c r="K2413">
        <v>0</v>
      </c>
      <c r="L2413" t="s">
        <v>88</v>
      </c>
      <c r="M2413">
        <v>408</v>
      </c>
    </row>
    <row r="2414" spans="1:13">
      <c r="A2414">
        <v>2408</v>
      </c>
      <c r="B2414">
        <v>77423</v>
      </c>
      <c r="C2414" t="s">
        <v>5359</v>
      </c>
      <c r="D2414" t="s">
        <v>2251</v>
      </c>
      <c r="E2414" t="s">
        <v>5360</v>
      </c>
      <c r="F2414" t="str">
        <f>"00391249"</f>
        <v>00391249</v>
      </c>
      <c r="G2414" t="s">
        <v>150</v>
      </c>
      <c r="H2414" t="s">
        <v>151</v>
      </c>
      <c r="I2414">
        <v>1699</v>
      </c>
      <c r="J2414" t="s">
        <v>21</v>
      </c>
      <c r="K2414">
        <v>0</v>
      </c>
      <c r="L2414" t="s">
        <v>88</v>
      </c>
      <c r="M2414">
        <v>625</v>
      </c>
    </row>
    <row r="2415" spans="1:13">
      <c r="A2415">
        <v>2409</v>
      </c>
      <c r="B2415">
        <v>106405</v>
      </c>
      <c r="C2415" t="s">
        <v>5361</v>
      </c>
      <c r="D2415" t="s">
        <v>102</v>
      </c>
      <c r="E2415" t="s">
        <v>5362</v>
      </c>
      <c r="F2415" t="str">
        <f>"00296102"</f>
        <v>00296102</v>
      </c>
      <c r="G2415" t="s">
        <v>150</v>
      </c>
      <c r="H2415" t="s">
        <v>151</v>
      </c>
      <c r="I2415">
        <v>1699</v>
      </c>
      <c r="J2415" t="s">
        <v>21</v>
      </c>
      <c r="K2415">
        <v>0</v>
      </c>
      <c r="L2415" t="s">
        <v>83</v>
      </c>
      <c r="M2415">
        <v>1232</v>
      </c>
    </row>
    <row r="2416" spans="1:13">
      <c r="A2416">
        <v>2410</v>
      </c>
      <c r="B2416">
        <v>54660</v>
      </c>
      <c r="C2416" t="s">
        <v>5363</v>
      </c>
      <c r="D2416" t="s">
        <v>139</v>
      </c>
      <c r="E2416" t="s">
        <v>5364</v>
      </c>
      <c r="F2416" t="str">
        <f>"00354692"</f>
        <v>00354692</v>
      </c>
      <c r="G2416" t="s">
        <v>47</v>
      </c>
      <c r="H2416" t="s">
        <v>48</v>
      </c>
      <c r="I2416">
        <v>1623</v>
      </c>
      <c r="J2416" t="s">
        <v>21</v>
      </c>
      <c r="K2416">
        <v>0</v>
      </c>
      <c r="L2416" t="s">
        <v>35</v>
      </c>
      <c r="M2416">
        <v>858</v>
      </c>
    </row>
    <row r="2417" spans="1:13">
      <c r="A2417">
        <v>2411</v>
      </c>
      <c r="B2417">
        <v>96318</v>
      </c>
      <c r="C2417" t="s">
        <v>5365</v>
      </c>
      <c r="D2417" t="s">
        <v>5366</v>
      </c>
      <c r="E2417" t="s">
        <v>5367</v>
      </c>
      <c r="F2417" t="str">
        <f>"00261047"</f>
        <v>00261047</v>
      </c>
      <c r="G2417" t="s">
        <v>190</v>
      </c>
      <c r="H2417" t="s">
        <v>191</v>
      </c>
      <c r="I2417">
        <v>1618</v>
      </c>
      <c r="J2417" t="s">
        <v>21</v>
      </c>
      <c r="K2417">
        <v>0</v>
      </c>
      <c r="L2417" t="s">
        <v>88</v>
      </c>
      <c r="M2417">
        <v>800</v>
      </c>
    </row>
    <row r="2418" spans="1:13">
      <c r="A2418">
        <v>2412</v>
      </c>
      <c r="B2418">
        <v>55114</v>
      </c>
      <c r="C2418" t="s">
        <v>5368</v>
      </c>
      <c r="D2418" t="s">
        <v>495</v>
      </c>
      <c r="E2418" t="s">
        <v>5369</v>
      </c>
      <c r="F2418" t="str">
        <f>"00244657"</f>
        <v>00244657</v>
      </c>
      <c r="G2418" t="s">
        <v>1556</v>
      </c>
      <c r="H2418" t="s">
        <v>20</v>
      </c>
      <c r="I2418">
        <v>1530</v>
      </c>
      <c r="J2418" t="s">
        <v>21</v>
      </c>
      <c r="K2418">
        <v>0</v>
      </c>
      <c r="M2418">
        <v>1388</v>
      </c>
    </row>
    <row r="2419" spans="1:13">
      <c r="A2419">
        <v>2413</v>
      </c>
      <c r="B2419">
        <v>80211</v>
      </c>
      <c r="C2419" t="s">
        <v>5370</v>
      </c>
      <c r="D2419" t="s">
        <v>563</v>
      </c>
      <c r="E2419" t="s">
        <v>5371</v>
      </c>
      <c r="F2419" t="str">
        <f>"00387558"</f>
        <v>00387558</v>
      </c>
      <c r="G2419" t="s">
        <v>107</v>
      </c>
      <c r="H2419" t="s">
        <v>20</v>
      </c>
      <c r="I2419">
        <v>1472</v>
      </c>
      <c r="J2419" t="s">
        <v>21</v>
      </c>
      <c r="K2419">
        <v>0</v>
      </c>
      <c r="L2419" t="s">
        <v>59</v>
      </c>
      <c r="M2419">
        <v>976</v>
      </c>
    </row>
    <row r="2420" spans="1:13">
      <c r="A2420">
        <v>2414</v>
      </c>
      <c r="B2420">
        <v>68527</v>
      </c>
      <c r="C2420" t="s">
        <v>5372</v>
      </c>
      <c r="D2420" t="s">
        <v>105</v>
      </c>
      <c r="E2420" t="s">
        <v>5373</v>
      </c>
      <c r="F2420" t="str">
        <f>"00404935"</f>
        <v>00404935</v>
      </c>
      <c r="G2420" t="s">
        <v>1595</v>
      </c>
      <c r="H2420" t="s">
        <v>20</v>
      </c>
      <c r="I2420">
        <v>1538</v>
      </c>
      <c r="J2420" t="s">
        <v>21</v>
      </c>
      <c r="K2420">
        <v>6</v>
      </c>
      <c r="M2420">
        <v>1228</v>
      </c>
    </row>
    <row r="2421" spans="1:13">
      <c r="A2421">
        <v>2415</v>
      </c>
      <c r="B2421">
        <v>67242</v>
      </c>
      <c r="C2421" t="s">
        <v>5374</v>
      </c>
      <c r="D2421" t="s">
        <v>90</v>
      </c>
      <c r="E2421" t="s">
        <v>5375</v>
      </c>
      <c r="F2421" t="str">
        <f>"00388559"</f>
        <v>00388559</v>
      </c>
      <c r="G2421" t="s">
        <v>240</v>
      </c>
      <c r="H2421" t="s">
        <v>20</v>
      </c>
      <c r="I2421">
        <v>1535</v>
      </c>
      <c r="J2421" t="s">
        <v>21</v>
      </c>
      <c r="K2421">
        <v>6</v>
      </c>
      <c r="M2421">
        <v>1388</v>
      </c>
    </row>
    <row r="2422" spans="1:13">
      <c r="A2422">
        <v>2416</v>
      </c>
      <c r="B2422">
        <v>90259</v>
      </c>
      <c r="C2422" t="s">
        <v>5376</v>
      </c>
      <c r="D2422" t="s">
        <v>655</v>
      </c>
      <c r="E2422" t="s">
        <v>5377</v>
      </c>
      <c r="F2422" t="str">
        <f>"00251932"</f>
        <v>00251932</v>
      </c>
      <c r="G2422" t="s">
        <v>107</v>
      </c>
      <c r="H2422" t="s">
        <v>20</v>
      </c>
      <c r="I2422">
        <v>1472</v>
      </c>
      <c r="J2422" t="s">
        <v>21</v>
      </c>
      <c r="K2422">
        <v>0</v>
      </c>
      <c r="L2422" t="s">
        <v>35</v>
      </c>
      <c r="M2422">
        <v>908</v>
      </c>
    </row>
    <row r="2423" spans="1:13">
      <c r="A2423">
        <v>2417</v>
      </c>
      <c r="B2423">
        <v>56663</v>
      </c>
      <c r="C2423" t="s">
        <v>5378</v>
      </c>
      <c r="D2423" t="s">
        <v>1284</v>
      </c>
      <c r="E2423" t="s">
        <v>5379</v>
      </c>
      <c r="F2423" t="str">
        <f>"00365241"</f>
        <v>00365241</v>
      </c>
      <c r="G2423" t="s">
        <v>971</v>
      </c>
      <c r="H2423" t="s">
        <v>48</v>
      </c>
      <c r="I2423">
        <v>1624</v>
      </c>
      <c r="J2423" t="s">
        <v>21</v>
      </c>
      <c r="K2423">
        <v>0</v>
      </c>
      <c r="L2423" t="s">
        <v>35</v>
      </c>
      <c r="M2423">
        <v>1008</v>
      </c>
    </row>
    <row r="2424" spans="1:13">
      <c r="A2424">
        <v>2418</v>
      </c>
      <c r="B2424">
        <v>73338</v>
      </c>
      <c r="C2424" t="s">
        <v>5380</v>
      </c>
      <c r="D2424" t="s">
        <v>5381</v>
      </c>
      <c r="E2424" t="s">
        <v>5382</v>
      </c>
      <c r="F2424" t="str">
        <f>"00393769"</f>
        <v>00393769</v>
      </c>
      <c r="G2424" t="s">
        <v>437</v>
      </c>
      <c r="H2424" t="s">
        <v>5383</v>
      </c>
      <c r="I2424">
        <v>1679</v>
      </c>
      <c r="J2424" t="s">
        <v>21</v>
      </c>
      <c r="K2424">
        <v>0</v>
      </c>
      <c r="M2424">
        <v>1663</v>
      </c>
    </row>
    <row r="2425" spans="1:13">
      <c r="A2425">
        <v>2419</v>
      </c>
      <c r="B2425">
        <v>100993</v>
      </c>
      <c r="C2425" t="s">
        <v>5384</v>
      </c>
      <c r="D2425" t="s">
        <v>121</v>
      </c>
      <c r="E2425" t="s">
        <v>5385</v>
      </c>
      <c r="F2425" t="str">
        <f>"00394842"</f>
        <v>00394842</v>
      </c>
      <c r="G2425" t="s">
        <v>3425</v>
      </c>
      <c r="H2425" t="s">
        <v>20</v>
      </c>
      <c r="I2425">
        <v>1453</v>
      </c>
      <c r="J2425" t="s">
        <v>21</v>
      </c>
      <c r="K2425">
        <v>0</v>
      </c>
      <c r="L2425" t="s">
        <v>35</v>
      </c>
      <c r="M2425">
        <v>1008</v>
      </c>
    </row>
    <row r="2426" spans="1:13">
      <c r="A2426">
        <v>2420</v>
      </c>
      <c r="B2426">
        <v>67673</v>
      </c>
      <c r="C2426" t="s">
        <v>5386</v>
      </c>
      <c r="D2426" t="s">
        <v>243</v>
      </c>
      <c r="E2426" t="s">
        <v>5387</v>
      </c>
      <c r="F2426" t="str">
        <f>"00381259"</f>
        <v>00381259</v>
      </c>
      <c r="G2426" t="s">
        <v>1695</v>
      </c>
      <c r="H2426" t="s">
        <v>20</v>
      </c>
      <c r="I2426">
        <v>1533</v>
      </c>
      <c r="J2426" t="s">
        <v>21</v>
      </c>
      <c r="K2426">
        <v>0</v>
      </c>
      <c r="L2426" t="s">
        <v>88</v>
      </c>
      <c r="M2426">
        <v>536</v>
      </c>
    </row>
    <row r="2427" spans="1:13">
      <c r="A2427">
        <v>2421</v>
      </c>
      <c r="B2427">
        <v>92935</v>
      </c>
      <c r="C2427" t="s">
        <v>5388</v>
      </c>
      <c r="D2427" t="s">
        <v>5389</v>
      </c>
      <c r="E2427" t="s">
        <v>5390</v>
      </c>
      <c r="F2427" t="str">
        <f>"201604005151"</f>
        <v>201604005151</v>
      </c>
      <c r="G2427" t="s">
        <v>341</v>
      </c>
      <c r="H2427" t="s">
        <v>20</v>
      </c>
      <c r="I2427">
        <v>1553</v>
      </c>
      <c r="J2427" t="s">
        <v>21</v>
      </c>
      <c r="K2427">
        <v>6</v>
      </c>
      <c r="L2427" t="s">
        <v>83</v>
      </c>
      <c r="M2427">
        <v>1188</v>
      </c>
    </row>
    <row r="2428" spans="1:13">
      <c r="A2428">
        <v>2422</v>
      </c>
      <c r="B2428">
        <v>72939</v>
      </c>
      <c r="C2428" t="s">
        <v>5391</v>
      </c>
      <c r="D2428" t="s">
        <v>243</v>
      </c>
      <c r="E2428" t="s">
        <v>5392</v>
      </c>
      <c r="F2428" t="str">
        <f>"00406694"</f>
        <v>00406694</v>
      </c>
      <c r="G2428" t="s">
        <v>150</v>
      </c>
      <c r="H2428" t="s">
        <v>151</v>
      </c>
      <c r="I2428">
        <v>1699</v>
      </c>
      <c r="J2428" t="s">
        <v>21</v>
      </c>
      <c r="K2428">
        <v>0</v>
      </c>
      <c r="L2428" t="s">
        <v>88</v>
      </c>
      <c r="M2428">
        <v>508</v>
      </c>
    </row>
    <row r="2429" spans="1:13">
      <c r="A2429">
        <v>2423</v>
      </c>
      <c r="B2429">
        <v>98537</v>
      </c>
      <c r="C2429" t="s">
        <v>5393</v>
      </c>
      <c r="D2429" t="s">
        <v>563</v>
      </c>
      <c r="E2429" t="s">
        <v>5394</v>
      </c>
      <c r="F2429" t="str">
        <f>"00173640"</f>
        <v>00173640</v>
      </c>
      <c r="G2429" t="s">
        <v>111</v>
      </c>
      <c r="H2429" t="s">
        <v>48</v>
      </c>
      <c r="I2429">
        <v>1620</v>
      </c>
      <c r="J2429" t="s">
        <v>21</v>
      </c>
      <c r="K2429">
        <v>0</v>
      </c>
      <c r="M2429">
        <v>1388</v>
      </c>
    </row>
    <row r="2430" spans="1:13">
      <c r="A2430">
        <v>2424</v>
      </c>
      <c r="B2430">
        <v>55221</v>
      </c>
      <c r="C2430" t="s">
        <v>5395</v>
      </c>
      <c r="D2430" t="s">
        <v>2929</v>
      </c>
      <c r="E2430" t="s">
        <v>5396</v>
      </c>
      <c r="F2430" t="str">
        <f>"00361277"</f>
        <v>00361277</v>
      </c>
      <c r="G2430" t="s">
        <v>593</v>
      </c>
      <c r="H2430" t="s">
        <v>20</v>
      </c>
      <c r="I2430">
        <v>1444</v>
      </c>
      <c r="J2430" t="s">
        <v>21</v>
      </c>
      <c r="K2430">
        <v>0</v>
      </c>
      <c r="M2430">
        <v>1588</v>
      </c>
    </row>
    <row r="2431" spans="1:13">
      <c r="A2431">
        <v>2425</v>
      </c>
      <c r="B2431">
        <v>73156</v>
      </c>
      <c r="C2431" t="s">
        <v>5397</v>
      </c>
      <c r="D2431" t="s">
        <v>76</v>
      </c>
      <c r="E2431" t="s">
        <v>5398</v>
      </c>
      <c r="F2431" t="str">
        <f>"00256581"</f>
        <v>00256581</v>
      </c>
      <c r="G2431" t="s">
        <v>1442</v>
      </c>
      <c r="H2431" t="s">
        <v>20</v>
      </c>
      <c r="I2431">
        <v>1578</v>
      </c>
      <c r="J2431" t="s">
        <v>21</v>
      </c>
      <c r="K2431">
        <v>7</v>
      </c>
      <c r="L2431" t="s">
        <v>35</v>
      </c>
      <c r="M2431">
        <v>800</v>
      </c>
    </row>
    <row r="2432" spans="1:13">
      <c r="A2432">
        <v>2426</v>
      </c>
      <c r="B2432">
        <v>56136</v>
      </c>
      <c r="C2432" t="s">
        <v>5399</v>
      </c>
      <c r="D2432" t="s">
        <v>243</v>
      </c>
      <c r="E2432" t="s">
        <v>5400</v>
      </c>
      <c r="F2432" t="str">
        <f>"00335528"</f>
        <v>00335528</v>
      </c>
      <c r="G2432" t="s">
        <v>1764</v>
      </c>
      <c r="H2432" t="s">
        <v>20</v>
      </c>
      <c r="I2432">
        <v>1532</v>
      </c>
      <c r="J2432" t="s">
        <v>21</v>
      </c>
      <c r="K2432">
        <v>0</v>
      </c>
      <c r="M2432">
        <v>1418</v>
      </c>
    </row>
    <row r="2433" spans="1:13">
      <c r="A2433">
        <v>2427</v>
      </c>
      <c r="B2433">
        <v>117074</v>
      </c>
      <c r="C2433" t="s">
        <v>5401</v>
      </c>
      <c r="D2433" t="s">
        <v>163</v>
      </c>
      <c r="E2433" t="s">
        <v>5402</v>
      </c>
      <c r="F2433" t="str">
        <f>"00290522"</f>
        <v>00290522</v>
      </c>
      <c r="G2433" t="s">
        <v>150</v>
      </c>
      <c r="H2433" t="s">
        <v>151</v>
      </c>
      <c r="I2433">
        <v>1699</v>
      </c>
      <c r="J2433" t="s">
        <v>21</v>
      </c>
      <c r="K2433">
        <v>0</v>
      </c>
      <c r="M2433">
        <v>1528</v>
      </c>
    </row>
    <row r="2434" spans="1:13">
      <c r="A2434">
        <v>2428</v>
      </c>
      <c r="B2434">
        <v>112153</v>
      </c>
      <c r="C2434" t="s">
        <v>5403</v>
      </c>
      <c r="D2434" t="s">
        <v>334</v>
      </c>
      <c r="E2434" t="s">
        <v>5404</v>
      </c>
      <c r="F2434" t="str">
        <f>"00409794"</f>
        <v>00409794</v>
      </c>
      <c r="G2434" t="s">
        <v>70</v>
      </c>
      <c r="H2434" t="s">
        <v>71</v>
      </c>
      <c r="I2434">
        <v>1702</v>
      </c>
      <c r="J2434" t="s">
        <v>21</v>
      </c>
      <c r="K2434">
        <v>0</v>
      </c>
      <c r="L2434" t="s">
        <v>35</v>
      </c>
      <c r="M2434">
        <v>883</v>
      </c>
    </row>
    <row r="2435" spans="1:13">
      <c r="A2435">
        <v>2429</v>
      </c>
      <c r="B2435">
        <v>76939</v>
      </c>
      <c r="C2435" t="s">
        <v>5405</v>
      </c>
      <c r="D2435" t="s">
        <v>153</v>
      </c>
      <c r="E2435" t="s">
        <v>5406</v>
      </c>
      <c r="F2435" t="str">
        <f>"00404058"</f>
        <v>00404058</v>
      </c>
      <c r="G2435" t="s">
        <v>1345</v>
      </c>
      <c r="H2435" t="s">
        <v>137</v>
      </c>
      <c r="I2435">
        <v>1606</v>
      </c>
      <c r="J2435" t="s">
        <v>21</v>
      </c>
      <c r="K2435">
        <v>0</v>
      </c>
      <c r="L2435" t="s">
        <v>35</v>
      </c>
      <c r="M2435">
        <v>1300</v>
      </c>
    </row>
    <row r="2436" spans="1:13">
      <c r="A2436">
        <v>2430</v>
      </c>
      <c r="B2436">
        <v>76055</v>
      </c>
      <c r="C2436" t="s">
        <v>5407</v>
      </c>
      <c r="D2436" t="s">
        <v>563</v>
      </c>
      <c r="E2436" t="s">
        <v>5408</v>
      </c>
      <c r="F2436" t="str">
        <f>"00388145"</f>
        <v>00388145</v>
      </c>
      <c r="G2436" t="s">
        <v>713</v>
      </c>
      <c r="H2436" t="s">
        <v>366</v>
      </c>
      <c r="I2436">
        <v>1690</v>
      </c>
      <c r="J2436" t="s">
        <v>21</v>
      </c>
      <c r="K2436">
        <v>0</v>
      </c>
      <c r="M2436">
        <v>1528</v>
      </c>
    </row>
    <row r="2437" spans="1:13">
      <c r="A2437">
        <v>2431</v>
      </c>
      <c r="B2437">
        <v>103374</v>
      </c>
      <c r="C2437" t="s">
        <v>5409</v>
      </c>
      <c r="D2437" t="s">
        <v>76</v>
      </c>
      <c r="E2437" t="s">
        <v>5410</v>
      </c>
      <c r="F2437" t="str">
        <f>"00384602"</f>
        <v>00384602</v>
      </c>
      <c r="G2437" t="s">
        <v>488</v>
      </c>
      <c r="H2437" t="s">
        <v>20</v>
      </c>
      <c r="I2437">
        <v>1482</v>
      </c>
      <c r="J2437" t="s">
        <v>21</v>
      </c>
      <c r="K2437">
        <v>0</v>
      </c>
      <c r="M2437">
        <v>1338</v>
      </c>
    </row>
    <row r="2438" spans="1:13">
      <c r="A2438">
        <v>2432</v>
      </c>
      <c r="B2438">
        <v>77233</v>
      </c>
      <c r="C2438" t="s">
        <v>5411</v>
      </c>
      <c r="D2438" t="s">
        <v>243</v>
      </c>
      <c r="E2438" t="s">
        <v>5412</v>
      </c>
      <c r="F2438" t="str">
        <f>"00264048"</f>
        <v>00264048</v>
      </c>
      <c r="G2438" t="s">
        <v>1005</v>
      </c>
      <c r="H2438" t="s">
        <v>751</v>
      </c>
      <c r="I2438">
        <v>1324</v>
      </c>
      <c r="J2438" t="s">
        <v>21</v>
      </c>
      <c r="K2438">
        <v>6</v>
      </c>
      <c r="M2438">
        <v>1488</v>
      </c>
    </row>
    <row r="2439" spans="1:13">
      <c r="A2439">
        <v>2433</v>
      </c>
      <c r="B2439">
        <v>59987</v>
      </c>
      <c r="C2439" t="s">
        <v>5413</v>
      </c>
      <c r="D2439" t="s">
        <v>90</v>
      </c>
      <c r="E2439" t="s">
        <v>5414</v>
      </c>
      <c r="F2439" t="str">
        <f>"00379656"</f>
        <v>00379656</v>
      </c>
      <c r="G2439" t="s">
        <v>1263</v>
      </c>
      <c r="H2439" t="s">
        <v>20</v>
      </c>
      <c r="I2439">
        <v>1542</v>
      </c>
      <c r="J2439" t="s">
        <v>21</v>
      </c>
      <c r="K2439">
        <v>6</v>
      </c>
      <c r="L2439" t="s">
        <v>35</v>
      </c>
      <c r="M2439">
        <v>1108</v>
      </c>
    </row>
    <row r="2440" spans="1:13">
      <c r="A2440">
        <v>2434</v>
      </c>
      <c r="B2440">
        <v>103416</v>
      </c>
      <c r="C2440" t="s">
        <v>5415</v>
      </c>
      <c r="D2440" t="s">
        <v>905</v>
      </c>
      <c r="E2440" t="s">
        <v>5416</v>
      </c>
      <c r="F2440" t="str">
        <f>"00179926"</f>
        <v>00179926</v>
      </c>
      <c r="G2440" t="s">
        <v>211</v>
      </c>
      <c r="H2440" t="s">
        <v>48</v>
      </c>
      <c r="I2440">
        <v>1628</v>
      </c>
      <c r="J2440" t="s">
        <v>21</v>
      </c>
      <c r="K2440">
        <v>0</v>
      </c>
      <c r="L2440" t="s">
        <v>35</v>
      </c>
      <c r="M2440">
        <v>908</v>
      </c>
    </row>
    <row r="2441" spans="1:13">
      <c r="A2441">
        <v>2435</v>
      </c>
      <c r="B2441">
        <v>103069</v>
      </c>
      <c r="C2441" t="s">
        <v>5417</v>
      </c>
      <c r="D2441" t="s">
        <v>117</v>
      </c>
      <c r="E2441" t="s">
        <v>5418</v>
      </c>
      <c r="F2441" t="str">
        <f>"201409001882"</f>
        <v>201409001882</v>
      </c>
      <c r="G2441" t="s">
        <v>111</v>
      </c>
      <c r="H2441" t="s">
        <v>48</v>
      </c>
      <c r="I2441">
        <v>1620</v>
      </c>
      <c r="J2441" t="s">
        <v>21</v>
      </c>
      <c r="K2441">
        <v>0</v>
      </c>
      <c r="M2441">
        <v>1338</v>
      </c>
    </row>
    <row r="2442" spans="1:13">
      <c r="A2442">
        <v>2436</v>
      </c>
      <c r="B2442">
        <v>59108</v>
      </c>
      <c r="C2442" t="s">
        <v>5419</v>
      </c>
      <c r="D2442" t="s">
        <v>76</v>
      </c>
      <c r="E2442" t="s">
        <v>5420</v>
      </c>
      <c r="F2442" t="str">
        <f>"00260970"</f>
        <v>00260970</v>
      </c>
      <c r="G2442" t="s">
        <v>2284</v>
      </c>
      <c r="H2442" t="s">
        <v>20</v>
      </c>
      <c r="I2442">
        <v>1465</v>
      </c>
      <c r="J2442" t="s">
        <v>21</v>
      </c>
      <c r="K2442">
        <v>0</v>
      </c>
      <c r="M2442">
        <v>1418</v>
      </c>
    </row>
    <row r="2443" spans="1:13">
      <c r="A2443">
        <v>2437</v>
      </c>
      <c r="B2443">
        <v>83494</v>
      </c>
      <c r="C2443" t="s">
        <v>5421</v>
      </c>
      <c r="D2443" t="s">
        <v>566</v>
      </c>
      <c r="E2443" t="s">
        <v>5422</v>
      </c>
      <c r="F2443" t="str">
        <f>"00379398"</f>
        <v>00379398</v>
      </c>
      <c r="G2443" t="s">
        <v>307</v>
      </c>
      <c r="H2443" t="s">
        <v>308</v>
      </c>
      <c r="I2443">
        <v>1589</v>
      </c>
      <c r="J2443" t="s">
        <v>21</v>
      </c>
      <c r="K2443">
        <v>0</v>
      </c>
      <c r="M2443">
        <v>1308</v>
      </c>
    </row>
    <row r="2444" spans="1:13">
      <c r="A2444">
        <v>2438</v>
      </c>
      <c r="B2444">
        <v>69959</v>
      </c>
      <c r="C2444" t="s">
        <v>5423</v>
      </c>
      <c r="D2444" t="s">
        <v>218</v>
      </c>
      <c r="E2444" t="s">
        <v>5424</v>
      </c>
      <c r="F2444" t="str">
        <f>"00095303"</f>
        <v>00095303</v>
      </c>
      <c r="G2444" t="s">
        <v>1682</v>
      </c>
      <c r="H2444" t="s">
        <v>751</v>
      </c>
      <c r="I2444">
        <v>1320</v>
      </c>
      <c r="J2444" t="s">
        <v>21</v>
      </c>
      <c r="K2444">
        <v>0</v>
      </c>
      <c r="M2444">
        <v>1928</v>
      </c>
    </row>
    <row r="2445" spans="1:13">
      <c r="A2445">
        <v>2439</v>
      </c>
      <c r="B2445">
        <v>57862</v>
      </c>
      <c r="C2445" t="s">
        <v>5425</v>
      </c>
      <c r="D2445" t="s">
        <v>316</v>
      </c>
      <c r="E2445" t="s">
        <v>5426</v>
      </c>
      <c r="F2445" t="str">
        <f>"00350394"</f>
        <v>00350394</v>
      </c>
      <c r="G2445" t="s">
        <v>38</v>
      </c>
      <c r="H2445" t="s">
        <v>39</v>
      </c>
      <c r="I2445">
        <v>1634</v>
      </c>
      <c r="J2445" t="s">
        <v>21</v>
      </c>
      <c r="K2445">
        <v>6</v>
      </c>
      <c r="L2445" t="s">
        <v>35</v>
      </c>
      <c r="M2445">
        <v>708</v>
      </c>
    </row>
    <row r="2446" spans="1:13">
      <c r="A2446">
        <v>2440</v>
      </c>
      <c r="B2446">
        <v>47762</v>
      </c>
      <c r="C2446" t="s">
        <v>5427</v>
      </c>
      <c r="D2446" t="s">
        <v>80</v>
      </c>
      <c r="E2446" t="s">
        <v>5428</v>
      </c>
      <c r="F2446" t="str">
        <f>"201402009999"</f>
        <v>201402009999</v>
      </c>
      <c r="G2446" t="s">
        <v>2768</v>
      </c>
      <c r="H2446" t="s">
        <v>20</v>
      </c>
      <c r="I2446">
        <v>1409</v>
      </c>
      <c r="J2446" t="s">
        <v>21</v>
      </c>
      <c r="K2446">
        <v>0</v>
      </c>
      <c r="M2446">
        <v>1728</v>
      </c>
    </row>
    <row r="2447" spans="1:13">
      <c r="A2447">
        <v>2441</v>
      </c>
      <c r="B2447">
        <v>100589</v>
      </c>
      <c r="C2447" t="s">
        <v>5429</v>
      </c>
      <c r="D2447" t="s">
        <v>180</v>
      </c>
      <c r="E2447" t="s">
        <v>5430</v>
      </c>
      <c r="F2447" t="str">
        <f>"00364498"</f>
        <v>00364498</v>
      </c>
      <c r="G2447" t="s">
        <v>465</v>
      </c>
      <c r="H2447" t="s">
        <v>20</v>
      </c>
      <c r="I2447">
        <v>1534</v>
      </c>
      <c r="J2447" t="s">
        <v>21</v>
      </c>
      <c r="K2447">
        <v>0</v>
      </c>
      <c r="L2447" t="s">
        <v>35</v>
      </c>
      <c r="M2447">
        <v>850</v>
      </c>
    </row>
    <row r="2448" spans="1:13">
      <c r="A2448">
        <v>2442</v>
      </c>
      <c r="B2448">
        <v>93005</v>
      </c>
      <c r="C2448" t="s">
        <v>5431</v>
      </c>
      <c r="D2448" t="s">
        <v>249</v>
      </c>
      <c r="E2448" t="s">
        <v>5432</v>
      </c>
      <c r="F2448" t="str">
        <f>"00380300"</f>
        <v>00380300</v>
      </c>
      <c r="G2448" t="s">
        <v>465</v>
      </c>
      <c r="H2448" t="s">
        <v>20</v>
      </c>
      <c r="I2448">
        <v>1534</v>
      </c>
      <c r="J2448" t="s">
        <v>21</v>
      </c>
      <c r="K2448">
        <v>0</v>
      </c>
      <c r="L2448" t="s">
        <v>35</v>
      </c>
      <c r="M2448">
        <v>858</v>
      </c>
    </row>
    <row r="2449" spans="1:13">
      <c r="A2449">
        <v>2443</v>
      </c>
      <c r="B2449">
        <v>115467</v>
      </c>
      <c r="C2449" t="s">
        <v>5433</v>
      </c>
      <c r="D2449" t="s">
        <v>76</v>
      </c>
      <c r="E2449" t="s">
        <v>5434</v>
      </c>
      <c r="F2449" t="str">
        <f>"00247515"</f>
        <v>00247515</v>
      </c>
      <c r="G2449" t="s">
        <v>170</v>
      </c>
      <c r="H2449" t="s">
        <v>20</v>
      </c>
      <c r="I2449">
        <v>1412</v>
      </c>
      <c r="J2449" t="s">
        <v>21</v>
      </c>
      <c r="K2449">
        <v>0</v>
      </c>
      <c r="L2449" t="s">
        <v>35</v>
      </c>
      <c r="M2449">
        <v>900</v>
      </c>
    </row>
    <row r="2450" spans="1:13">
      <c r="A2450">
        <v>2444</v>
      </c>
      <c r="B2450">
        <v>103394</v>
      </c>
      <c r="C2450" t="s">
        <v>5435</v>
      </c>
      <c r="D2450" t="s">
        <v>5436</v>
      </c>
      <c r="E2450" t="s">
        <v>5437</v>
      </c>
      <c r="F2450" t="str">
        <f>"00294307"</f>
        <v>00294307</v>
      </c>
      <c r="G2450" t="s">
        <v>96</v>
      </c>
      <c r="H2450" t="s">
        <v>20</v>
      </c>
      <c r="I2450">
        <v>1474</v>
      </c>
      <c r="J2450" t="s">
        <v>21</v>
      </c>
      <c r="K2450">
        <v>0</v>
      </c>
      <c r="L2450" t="s">
        <v>35</v>
      </c>
      <c r="M2450">
        <v>1000</v>
      </c>
    </row>
    <row r="2451" spans="1:13">
      <c r="A2451">
        <v>2445</v>
      </c>
      <c r="B2451">
        <v>58977</v>
      </c>
      <c r="C2451" t="s">
        <v>5438</v>
      </c>
      <c r="D2451" t="s">
        <v>218</v>
      </c>
      <c r="E2451" t="s">
        <v>5439</v>
      </c>
      <c r="F2451" t="str">
        <f>"201507004970"</f>
        <v>201507004970</v>
      </c>
      <c r="G2451" t="s">
        <v>3707</v>
      </c>
      <c r="H2451" t="s">
        <v>20</v>
      </c>
      <c r="I2451">
        <v>1437</v>
      </c>
      <c r="J2451" t="s">
        <v>21</v>
      </c>
      <c r="K2451">
        <v>6</v>
      </c>
      <c r="M2451">
        <v>1483</v>
      </c>
    </row>
    <row r="2452" spans="1:13">
      <c r="A2452">
        <v>2446</v>
      </c>
      <c r="B2452">
        <v>68999</v>
      </c>
      <c r="C2452" t="s">
        <v>5440</v>
      </c>
      <c r="D2452" t="s">
        <v>205</v>
      </c>
      <c r="E2452" t="s">
        <v>5441</v>
      </c>
      <c r="F2452" t="str">
        <f>"00234740"</f>
        <v>00234740</v>
      </c>
      <c r="G2452" t="s">
        <v>428</v>
      </c>
      <c r="H2452" t="s">
        <v>20</v>
      </c>
      <c r="I2452">
        <v>1556</v>
      </c>
      <c r="J2452" t="s">
        <v>21</v>
      </c>
      <c r="K2452">
        <v>6</v>
      </c>
      <c r="M2452">
        <v>1458</v>
      </c>
    </row>
    <row r="2453" spans="1:13">
      <c r="A2453">
        <v>2447</v>
      </c>
      <c r="B2453">
        <v>75259</v>
      </c>
      <c r="C2453" t="s">
        <v>5442</v>
      </c>
      <c r="D2453" t="s">
        <v>243</v>
      </c>
      <c r="E2453" t="s">
        <v>5443</v>
      </c>
      <c r="F2453" t="str">
        <f>"00371378"</f>
        <v>00371378</v>
      </c>
      <c r="G2453" t="s">
        <v>3707</v>
      </c>
      <c r="H2453" t="s">
        <v>20</v>
      </c>
      <c r="I2453">
        <v>1437</v>
      </c>
      <c r="J2453" t="s">
        <v>21</v>
      </c>
      <c r="K2453">
        <v>6</v>
      </c>
      <c r="M2453">
        <v>1488</v>
      </c>
    </row>
    <row r="2454" spans="1:13">
      <c r="A2454">
        <v>2448</v>
      </c>
      <c r="B2454">
        <v>94311</v>
      </c>
      <c r="C2454" t="s">
        <v>5444</v>
      </c>
      <c r="D2454" t="s">
        <v>243</v>
      </c>
      <c r="E2454" t="s">
        <v>5445</v>
      </c>
      <c r="F2454" t="str">
        <f>"00302849"</f>
        <v>00302849</v>
      </c>
      <c r="G2454" t="s">
        <v>47</v>
      </c>
      <c r="H2454" t="s">
        <v>48</v>
      </c>
      <c r="I2454">
        <v>1623</v>
      </c>
      <c r="J2454" t="s">
        <v>21</v>
      </c>
      <c r="K2454">
        <v>0</v>
      </c>
      <c r="L2454" t="s">
        <v>88</v>
      </c>
      <c r="M2454">
        <v>570</v>
      </c>
    </row>
    <row r="2455" spans="1:13">
      <c r="A2455">
        <v>2449</v>
      </c>
      <c r="B2455">
        <v>110692</v>
      </c>
      <c r="C2455" t="s">
        <v>5446</v>
      </c>
      <c r="D2455" t="s">
        <v>180</v>
      </c>
      <c r="E2455" t="s">
        <v>5447</v>
      </c>
      <c r="F2455" t="str">
        <f>"00392522"</f>
        <v>00392522</v>
      </c>
      <c r="G2455" t="s">
        <v>883</v>
      </c>
      <c r="H2455" t="s">
        <v>270</v>
      </c>
      <c r="I2455">
        <v>1585</v>
      </c>
      <c r="J2455" t="s">
        <v>21</v>
      </c>
      <c r="K2455">
        <v>0</v>
      </c>
      <c r="L2455" t="s">
        <v>112</v>
      </c>
      <c r="M2455">
        <v>921</v>
      </c>
    </row>
    <row r="2456" spans="1:13">
      <c r="A2456">
        <v>2450</v>
      </c>
      <c r="B2456">
        <v>82031</v>
      </c>
      <c r="C2456" t="s">
        <v>5448</v>
      </c>
      <c r="D2456" t="s">
        <v>90</v>
      </c>
      <c r="E2456" t="s">
        <v>5449</v>
      </c>
      <c r="F2456" t="str">
        <f>"201511022973"</f>
        <v>201511022973</v>
      </c>
      <c r="G2456" t="s">
        <v>111</v>
      </c>
      <c r="H2456" t="s">
        <v>48</v>
      </c>
      <c r="I2456">
        <v>1620</v>
      </c>
      <c r="J2456" t="s">
        <v>21</v>
      </c>
      <c r="K2456">
        <v>0</v>
      </c>
      <c r="L2456" t="s">
        <v>35</v>
      </c>
      <c r="M2456">
        <v>908</v>
      </c>
    </row>
    <row r="2457" spans="1:13">
      <c r="A2457">
        <v>2451</v>
      </c>
      <c r="B2457">
        <v>97788</v>
      </c>
      <c r="C2457" t="s">
        <v>5450</v>
      </c>
      <c r="D2457" t="s">
        <v>80</v>
      </c>
      <c r="E2457" t="s">
        <v>5451</v>
      </c>
      <c r="F2457" t="str">
        <f>"00351618"</f>
        <v>00351618</v>
      </c>
      <c r="G2457" t="s">
        <v>87</v>
      </c>
      <c r="H2457" t="s">
        <v>20</v>
      </c>
      <c r="I2457">
        <v>1436</v>
      </c>
      <c r="J2457" t="s">
        <v>21</v>
      </c>
      <c r="K2457">
        <v>0</v>
      </c>
      <c r="L2457" t="s">
        <v>35</v>
      </c>
      <c r="M2457">
        <v>873</v>
      </c>
    </row>
    <row r="2458" spans="1:13">
      <c r="A2458">
        <v>2452</v>
      </c>
      <c r="B2458">
        <v>86855</v>
      </c>
      <c r="C2458" t="s">
        <v>5452</v>
      </c>
      <c r="D2458" t="s">
        <v>130</v>
      </c>
      <c r="E2458" t="s">
        <v>5453</v>
      </c>
      <c r="F2458" t="str">
        <f>"00373144"</f>
        <v>00373144</v>
      </c>
      <c r="G2458" t="s">
        <v>47</v>
      </c>
      <c r="H2458" t="s">
        <v>48</v>
      </c>
      <c r="I2458">
        <v>1623</v>
      </c>
      <c r="J2458" t="s">
        <v>21</v>
      </c>
      <c r="K2458">
        <v>0</v>
      </c>
      <c r="M2458">
        <v>1338</v>
      </c>
    </row>
    <row r="2459" spans="1:13">
      <c r="A2459">
        <v>2453</v>
      </c>
      <c r="B2459">
        <v>109360</v>
      </c>
      <c r="C2459" t="s">
        <v>5454</v>
      </c>
      <c r="D2459" t="s">
        <v>628</v>
      </c>
      <c r="E2459" t="s">
        <v>5455</v>
      </c>
      <c r="F2459" t="str">
        <f>"00419396"</f>
        <v>00419396</v>
      </c>
      <c r="G2459" t="s">
        <v>5456</v>
      </c>
      <c r="H2459" t="s">
        <v>20</v>
      </c>
      <c r="I2459">
        <v>1408</v>
      </c>
      <c r="J2459" t="s">
        <v>21</v>
      </c>
      <c r="K2459">
        <v>0</v>
      </c>
      <c r="M2459">
        <v>1481</v>
      </c>
    </row>
    <row r="2460" spans="1:13">
      <c r="A2460">
        <v>2454</v>
      </c>
      <c r="B2460">
        <v>99496</v>
      </c>
      <c r="C2460" t="s">
        <v>5457</v>
      </c>
      <c r="D2460" t="s">
        <v>76</v>
      </c>
      <c r="E2460" t="s">
        <v>5458</v>
      </c>
      <c r="F2460" t="str">
        <f>"00303343"</f>
        <v>00303343</v>
      </c>
      <c r="G2460" t="s">
        <v>583</v>
      </c>
      <c r="H2460" t="s">
        <v>137</v>
      </c>
      <c r="I2460">
        <v>1601</v>
      </c>
      <c r="J2460" t="s">
        <v>21</v>
      </c>
      <c r="K2460">
        <v>0</v>
      </c>
      <c r="L2460" t="s">
        <v>35</v>
      </c>
      <c r="M2460">
        <v>908</v>
      </c>
    </row>
    <row r="2461" spans="1:13">
      <c r="A2461">
        <v>2455</v>
      </c>
      <c r="B2461">
        <v>95105</v>
      </c>
      <c r="C2461" t="s">
        <v>5459</v>
      </c>
      <c r="D2461" t="s">
        <v>145</v>
      </c>
      <c r="E2461" t="s">
        <v>5460</v>
      </c>
      <c r="F2461" t="str">
        <f>"00329463"</f>
        <v>00329463</v>
      </c>
      <c r="G2461" t="s">
        <v>610</v>
      </c>
      <c r="H2461" t="s">
        <v>20</v>
      </c>
      <c r="I2461">
        <v>1429</v>
      </c>
      <c r="J2461" t="s">
        <v>21</v>
      </c>
      <c r="K2461">
        <v>0</v>
      </c>
      <c r="L2461" t="s">
        <v>88</v>
      </c>
      <c r="M2461">
        <v>700</v>
      </c>
    </row>
    <row r="2462" spans="1:13">
      <c r="A2462">
        <v>2456</v>
      </c>
      <c r="B2462">
        <v>47494</v>
      </c>
      <c r="C2462" t="s">
        <v>5461</v>
      </c>
      <c r="D2462" t="s">
        <v>563</v>
      </c>
      <c r="E2462" t="s">
        <v>5462</v>
      </c>
      <c r="F2462" t="str">
        <f>"00197790"</f>
        <v>00197790</v>
      </c>
      <c r="G2462" t="s">
        <v>111</v>
      </c>
      <c r="H2462" t="s">
        <v>48</v>
      </c>
      <c r="I2462">
        <v>1620</v>
      </c>
      <c r="J2462" t="s">
        <v>21</v>
      </c>
      <c r="K2462">
        <v>0</v>
      </c>
      <c r="L2462" t="s">
        <v>59</v>
      </c>
      <c r="M2462">
        <v>1188</v>
      </c>
    </row>
    <row r="2463" spans="1:13">
      <c r="A2463">
        <v>2457</v>
      </c>
      <c r="B2463">
        <v>84400</v>
      </c>
      <c r="C2463" t="s">
        <v>5463</v>
      </c>
      <c r="D2463" t="s">
        <v>209</v>
      </c>
      <c r="E2463" t="s">
        <v>5464</v>
      </c>
      <c r="F2463" t="str">
        <f>"00380934"</f>
        <v>00380934</v>
      </c>
      <c r="G2463" t="s">
        <v>1277</v>
      </c>
      <c r="H2463" t="s">
        <v>1278</v>
      </c>
      <c r="I2463">
        <v>1697</v>
      </c>
      <c r="J2463" t="s">
        <v>21</v>
      </c>
      <c r="K2463">
        <v>7</v>
      </c>
      <c r="M2463">
        <v>1351</v>
      </c>
    </row>
    <row r="2464" spans="1:13">
      <c r="A2464">
        <v>2458</v>
      </c>
      <c r="B2464">
        <v>77693</v>
      </c>
      <c r="C2464" t="s">
        <v>5465</v>
      </c>
      <c r="D2464" t="s">
        <v>76</v>
      </c>
      <c r="E2464" t="s">
        <v>5466</v>
      </c>
      <c r="F2464" t="str">
        <f>"00185675"</f>
        <v>00185675</v>
      </c>
      <c r="G2464" t="s">
        <v>5467</v>
      </c>
      <c r="H2464" t="s">
        <v>535</v>
      </c>
      <c r="I2464">
        <v>1663</v>
      </c>
      <c r="J2464" t="s">
        <v>21</v>
      </c>
      <c r="K2464">
        <v>0</v>
      </c>
      <c r="M2464">
        <v>1538</v>
      </c>
    </row>
    <row r="2465" spans="1:13">
      <c r="A2465">
        <v>2459</v>
      </c>
      <c r="B2465">
        <v>82040</v>
      </c>
      <c r="C2465" t="s">
        <v>5468</v>
      </c>
      <c r="D2465" t="s">
        <v>391</v>
      </c>
      <c r="E2465" t="s">
        <v>5469</v>
      </c>
      <c r="F2465" t="str">
        <f>"00387979"</f>
        <v>00387979</v>
      </c>
      <c r="G2465" t="s">
        <v>230</v>
      </c>
      <c r="H2465" t="s">
        <v>20</v>
      </c>
      <c r="I2465">
        <v>1545</v>
      </c>
      <c r="J2465" t="s">
        <v>21</v>
      </c>
      <c r="K2465">
        <v>0</v>
      </c>
      <c r="L2465" t="s">
        <v>59</v>
      </c>
      <c r="M2465">
        <v>1026</v>
      </c>
    </row>
    <row r="2466" spans="1:13">
      <c r="A2466">
        <v>2460</v>
      </c>
      <c r="B2466">
        <v>78576</v>
      </c>
      <c r="C2466" t="s">
        <v>5470</v>
      </c>
      <c r="D2466" t="s">
        <v>153</v>
      </c>
      <c r="E2466" t="s">
        <v>5471</v>
      </c>
      <c r="F2466" t="str">
        <f>"00385969"</f>
        <v>00385969</v>
      </c>
      <c r="G2466" t="s">
        <v>4036</v>
      </c>
      <c r="H2466" t="s">
        <v>20</v>
      </c>
      <c r="I2466">
        <v>1442</v>
      </c>
      <c r="J2466" t="s">
        <v>21</v>
      </c>
      <c r="K2466">
        <v>0</v>
      </c>
      <c r="M2466">
        <v>1488</v>
      </c>
    </row>
    <row r="2467" spans="1:13">
      <c r="A2467">
        <v>2461</v>
      </c>
      <c r="B2467">
        <v>63134</v>
      </c>
      <c r="C2467" t="s">
        <v>5472</v>
      </c>
      <c r="D2467" t="s">
        <v>700</v>
      </c>
      <c r="E2467" t="s">
        <v>5473</v>
      </c>
      <c r="F2467" t="str">
        <f>"00350149"</f>
        <v>00350149</v>
      </c>
      <c r="G2467" t="s">
        <v>125</v>
      </c>
      <c r="H2467" t="s">
        <v>20</v>
      </c>
      <c r="I2467">
        <v>1507</v>
      </c>
      <c r="J2467" t="s">
        <v>21</v>
      </c>
      <c r="K2467">
        <v>0</v>
      </c>
      <c r="L2467" t="s">
        <v>35</v>
      </c>
      <c r="M2467">
        <v>1007</v>
      </c>
    </row>
    <row r="2468" spans="1:13">
      <c r="A2468">
        <v>2462</v>
      </c>
      <c r="B2468">
        <v>71890</v>
      </c>
      <c r="C2468" t="s">
        <v>5474</v>
      </c>
      <c r="D2468" t="s">
        <v>80</v>
      </c>
      <c r="E2468" t="s">
        <v>5475</v>
      </c>
      <c r="F2468" t="str">
        <f>"00385952"</f>
        <v>00385952</v>
      </c>
      <c r="G2468" t="s">
        <v>610</v>
      </c>
      <c r="H2468" t="s">
        <v>20</v>
      </c>
      <c r="I2468">
        <v>1429</v>
      </c>
      <c r="J2468" t="s">
        <v>21</v>
      </c>
      <c r="K2468">
        <v>0</v>
      </c>
      <c r="L2468" t="s">
        <v>83</v>
      </c>
      <c r="M2468">
        <v>1228</v>
      </c>
    </row>
    <row r="2469" spans="1:13">
      <c r="A2469">
        <v>2463</v>
      </c>
      <c r="B2469">
        <v>53891</v>
      </c>
      <c r="C2469" t="s">
        <v>5476</v>
      </c>
      <c r="D2469" t="s">
        <v>80</v>
      </c>
      <c r="E2469" t="s">
        <v>5477</v>
      </c>
      <c r="F2469" t="str">
        <f>"00244383"</f>
        <v>00244383</v>
      </c>
      <c r="G2469" t="s">
        <v>488</v>
      </c>
      <c r="H2469" t="s">
        <v>20</v>
      </c>
      <c r="I2469">
        <v>1482</v>
      </c>
      <c r="J2469" t="s">
        <v>21</v>
      </c>
      <c r="K2469">
        <v>0</v>
      </c>
      <c r="M2469">
        <v>1664</v>
      </c>
    </row>
    <row r="2470" spans="1:13">
      <c r="A2470">
        <v>2464</v>
      </c>
      <c r="B2470">
        <v>105853</v>
      </c>
      <c r="C2470" t="s">
        <v>5478</v>
      </c>
      <c r="D2470" t="s">
        <v>65</v>
      </c>
      <c r="E2470" t="s">
        <v>5479</v>
      </c>
      <c r="F2470" t="str">
        <f>"00084185"</f>
        <v>00084185</v>
      </c>
      <c r="G2470" t="s">
        <v>365</v>
      </c>
      <c r="H2470" t="s">
        <v>366</v>
      </c>
      <c r="I2470">
        <v>1692</v>
      </c>
      <c r="J2470" t="s">
        <v>21</v>
      </c>
      <c r="K2470">
        <v>0</v>
      </c>
      <c r="L2470" t="s">
        <v>35</v>
      </c>
      <c r="M2470">
        <v>908</v>
      </c>
    </row>
    <row r="2471" spans="1:13">
      <c r="A2471">
        <v>2465</v>
      </c>
      <c r="B2471">
        <v>93007</v>
      </c>
      <c r="C2471" t="s">
        <v>5480</v>
      </c>
      <c r="D2471" t="s">
        <v>65</v>
      </c>
      <c r="E2471" t="s">
        <v>5481</v>
      </c>
      <c r="F2471" t="str">
        <f>"00230192"</f>
        <v>00230192</v>
      </c>
      <c r="G2471" t="s">
        <v>721</v>
      </c>
      <c r="H2471" t="s">
        <v>20</v>
      </c>
      <c r="I2471">
        <v>1575</v>
      </c>
      <c r="J2471" t="s">
        <v>21</v>
      </c>
      <c r="K2471">
        <v>0</v>
      </c>
      <c r="M2471">
        <v>1338</v>
      </c>
    </row>
    <row r="2472" spans="1:13">
      <c r="A2472">
        <v>2466</v>
      </c>
      <c r="B2472">
        <v>63902</v>
      </c>
      <c r="C2472" t="s">
        <v>5482</v>
      </c>
      <c r="D2472" t="s">
        <v>105</v>
      </c>
      <c r="E2472" t="s">
        <v>5483</v>
      </c>
      <c r="F2472" t="str">
        <f>"00255223"</f>
        <v>00255223</v>
      </c>
      <c r="G2472" t="s">
        <v>299</v>
      </c>
      <c r="H2472" t="s">
        <v>20</v>
      </c>
      <c r="I2472">
        <v>1490</v>
      </c>
      <c r="J2472" t="s">
        <v>21</v>
      </c>
      <c r="K2472">
        <v>0</v>
      </c>
      <c r="M2472">
        <v>1590</v>
      </c>
    </row>
    <row r="2473" spans="1:13">
      <c r="A2473">
        <v>2467</v>
      </c>
      <c r="B2473">
        <v>106232</v>
      </c>
      <c r="C2473" t="s">
        <v>5484</v>
      </c>
      <c r="D2473" t="s">
        <v>905</v>
      </c>
      <c r="E2473" t="s">
        <v>5485</v>
      </c>
      <c r="F2473" t="str">
        <f>"00371560"</f>
        <v>00371560</v>
      </c>
      <c r="G2473" t="s">
        <v>1079</v>
      </c>
      <c r="H2473" t="s">
        <v>20</v>
      </c>
      <c r="I2473">
        <v>1433</v>
      </c>
      <c r="J2473" t="s">
        <v>21</v>
      </c>
      <c r="K2473">
        <v>0</v>
      </c>
      <c r="L2473" t="s">
        <v>88</v>
      </c>
      <c r="M2473">
        <v>600</v>
      </c>
    </row>
    <row r="2474" spans="1:13">
      <c r="A2474">
        <v>2468</v>
      </c>
      <c r="B2474">
        <v>53440</v>
      </c>
      <c r="C2474" t="s">
        <v>5486</v>
      </c>
      <c r="D2474" t="s">
        <v>121</v>
      </c>
      <c r="E2474" t="s">
        <v>5487</v>
      </c>
      <c r="F2474" t="str">
        <f>"00358358"</f>
        <v>00358358</v>
      </c>
      <c r="G2474" t="s">
        <v>38</v>
      </c>
      <c r="H2474" t="s">
        <v>39</v>
      </c>
      <c r="I2474">
        <v>1634</v>
      </c>
      <c r="J2474" t="s">
        <v>21</v>
      </c>
      <c r="K2474">
        <v>6</v>
      </c>
      <c r="L2474" t="s">
        <v>35</v>
      </c>
      <c r="M2474">
        <v>608</v>
      </c>
    </row>
    <row r="2475" spans="1:13">
      <c r="A2475">
        <v>2469</v>
      </c>
      <c r="B2475">
        <v>115804</v>
      </c>
      <c r="C2475" t="s">
        <v>5488</v>
      </c>
      <c r="D2475" t="s">
        <v>205</v>
      </c>
      <c r="E2475" t="s">
        <v>5489</v>
      </c>
      <c r="F2475" t="str">
        <f>"00391359"</f>
        <v>00391359</v>
      </c>
      <c r="G2475" t="s">
        <v>87</v>
      </c>
      <c r="H2475" t="s">
        <v>20</v>
      </c>
      <c r="I2475">
        <v>1436</v>
      </c>
      <c r="J2475" t="s">
        <v>21</v>
      </c>
      <c r="K2475">
        <v>0</v>
      </c>
      <c r="M2475">
        <v>1528</v>
      </c>
    </row>
    <row r="2476" spans="1:13">
      <c r="A2476">
        <v>2470</v>
      </c>
      <c r="B2476">
        <v>93768</v>
      </c>
      <c r="C2476" t="s">
        <v>5490</v>
      </c>
      <c r="D2476" t="s">
        <v>145</v>
      </c>
      <c r="E2476" t="s">
        <v>5491</v>
      </c>
      <c r="F2476" t="str">
        <f>"00396009"</f>
        <v>00396009</v>
      </c>
      <c r="G2476" t="s">
        <v>465</v>
      </c>
      <c r="H2476" t="s">
        <v>20</v>
      </c>
      <c r="I2476">
        <v>1534</v>
      </c>
      <c r="J2476" t="s">
        <v>21</v>
      </c>
      <c r="K2476">
        <v>0</v>
      </c>
      <c r="L2476" t="s">
        <v>35</v>
      </c>
      <c r="M2476">
        <v>900</v>
      </c>
    </row>
    <row r="2477" spans="1:13">
      <c r="A2477">
        <v>2471</v>
      </c>
      <c r="B2477">
        <v>62610</v>
      </c>
      <c r="C2477" t="s">
        <v>5492</v>
      </c>
      <c r="D2477" t="s">
        <v>180</v>
      </c>
      <c r="E2477" t="s">
        <v>5493</v>
      </c>
      <c r="F2477" t="str">
        <f>"00250405"</f>
        <v>00250405</v>
      </c>
      <c r="G2477" t="s">
        <v>561</v>
      </c>
      <c r="H2477" t="s">
        <v>2469</v>
      </c>
      <c r="I2477">
        <v>1649</v>
      </c>
      <c r="J2477" t="s">
        <v>21</v>
      </c>
      <c r="K2477">
        <v>0</v>
      </c>
      <c r="M2477">
        <v>1318</v>
      </c>
    </row>
    <row r="2478" spans="1:13">
      <c r="A2478">
        <v>2472</v>
      </c>
      <c r="B2478">
        <v>55294</v>
      </c>
      <c r="C2478" t="s">
        <v>5494</v>
      </c>
      <c r="D2478" t="s">
        <v>243</v>
      </c>
      <c r="E2478" t="s">
        <v>5495</v>
      </c>
      <c r="F2478" t="str">
        <f>"00360450"</f>
        <v>00360450</v>
      </c>
      <c r="G2478" t="s">
        <v>721</v>
      </c>
      <c r="H2478" t="s">
        <v>20</v>
      </c>
      <c r="I2478">
        <v>1575</v>
      </c>
      <c r="J2478" t="s">
        <v>21</v>
      </c>
      <c r="K2478">
        <v>0</v>
      </c>
      <c r="M2478">
        <v>1348</v>
      </c>
    </row>
    <row r="2479" spans="1:13">
      <c r="A2479">
        <v>2473</v>
      </c>
      <c r="B2479">
        <v>72054</v>
      </c>
      <c r="C2479" t="s">
        <v>5496</v>
      </c>
      <c r="D2479" t="s">
        <v>1001</v>
      </c>
      <c r="E2479" t="s">
        <v>5497</v>
      </c>
      <c r="F2479" t="str">
        <f>"201412007053"</f>
        <v>201412007053</v>
      </c>
      <c r="G2479" t="s">
        <v>600</v>
      </c>
      <c r="H2479" t="s">
        <v>366</v>
      </c>
      <c r="I2479">
        <v>1694</v>
      </c>
      <c r="J2479" t="s">
        <v>21</v>
      </c>
      <c r="K2479">
        <v>0</v>
      </c>
      <c r="L2479" t="s">
        <v>35</v>
      </c>
      <c r="M2479">
        <v>850</v>
      </c>
    </row>
    <row r="2480" spans="1:13">
      <c r="A2480">
        <v>2474</v>
      </c>
      <c r="B2480">
        <v>73379</v>
      </c>
      <c r="C2480" t="s">
        <v>5498</v>
      </c>
      <c r="D2480" t="s">
        <v>130</v>
      </c>
      <c r="E2480" t="s">
        <v>5499</v>
      </c>
      <c r="F2480" t="str">
        <f>"00395344"</f>
        <v>00395344</v>
      </c>
      <c r="G2480" t="s">
        <v>38</v>
      </c>
      <c r="H2480" t="s">
        <v>39</v>
      </c>
      <c r="I2480">
        <v>1634</v>
      </c>
      <c r="J2480" t="s">
        <v>21</v>
      </c>
      <c r="K2480">
        <v>6</v>
      </c>
      <c r="L2480" t="s">
        <v>35</v>
      </c>
      <c r="M2480">
        <v>658</v>
      </c>
    </row>
    <row r="2481" spans="1:13">
      <c r="A2481">
        <v>2475</v>
      </c>
      <c r="B2481">
        <v>58695</v>
      </c>
      <c r="C2481" t="s">
        <v>5500</v>
      </c>
      <c r="D2481" t="s">
        <v>76</v>
      </c>
      <c r="E2481" t="s">
        <v>5501</v>
      </c>
      <c r="F2481" t="str">
        <f>"00356687"</f>
        <v>00356687</v>
      </c>
      <c r="G2481" t="s">
        <v>1277</v>
      </c>
      <c r="H2481" t="s">
        <v>1278</v>
      </c>
      <c r="I2481">
        <v>1697</v>
      </c>
      <c r="J2481" t="s">
        <v>21</v>
      </c>
      <c r="K2481">
        <v>7</v>
      </c>
      <c r="M2481">
        <v>1303</v>
      </c>
    </row>
    <row r="2482" spans="1:13">
      <c r="A2482">
        <v>2476</v>
      </c>
      <c r="B2482">
        <v>48574</v>
      </c>
      <c r="C2482" t="s">
        <v>5502</v>
      </c>
      <c r="D2482" t="s">
        <v>288</v>
      </c>
      <c r="E2482" t="s">
        <v>5503</v>
      </c>
      <c r="F2482" t="str">
        <f>"00021242"</f>
        <v>00021242</v>
      </c>
      <c r="G2482" t="s">
        <v>1764</v>
      </c>
      <c r="H2482" t="s">
        <v>857</v>
      </c>
      <c r="I2482">
        <v>1658</v>
      </c>
      <c r="J2482" t="s">
        <v>21</v>
      </c>
      <c r="K2482">
        <v>0</v>
      </c>
      <c r="M2482">
        <v>1498</v>
      </c>
    </row>
    <row r="2483" spans="1:13">
      <c r="A2483">
        <v>2477</v>
      </c>
      <c r="B2483">
        <v>90786</v>
      </c>
      <c r="C2483" t="s">
        <v>5504</v>
      </c>
      <c r="D2483" t="s">
        <v>288</v>
      </c>
      <c r="E2483" t="s">
        <v>5505</v>
      </c>
      <c r="F2483" t="str">
        <f>"00363175"</f>
        <v>00363175</v>
      </c>
      <c r="G2483" t="s">
        <v>709</v>
      </c>
      <c r="H2483" t="s">
        <v>20</v>
      </c>
      <c r="I2483">
        <v>1413</v>
      </c>
      <c r="J2483" t="s">
        <v>21</v>
      </c>
      <c r="K2483">
        <v>0</v>
      </c>
      <c r="L2483" t="s">
        <v>35</v>
      </c>
      <c r="M2483">
        <v>900</v>
      </c>
    </row>
    <row r="2484" spans="1:13">
      <c r="A2484">
        <v>2478</v>
      </c>
      <c r="B2484">
        <v>81514</v>
      </c>
      <c r="C2484" t="s">
        <v>5506</v>
      </c>
      <c r="D2484" t="s">
        <v>180</v>
      </c>
      <c r="E2484" t="s">
        <v>5507</v>
      </c>
      <c r="F2484" t="str">
        <f>"00389830"</f>
        <v>00389830</v>
      </c>
      <c r="G2484" t="s">
        <v>352</v>
      </c>
      <c r="H2484" t="s">
        <v>20</v>
      </c>
      <c r="I2484">
        <v>1471</v>
      </c>
      <c r="J2484" t="s">
        <v>21</v>
      </c>
      <c r="K2484">
        <v>0</v>
      </c>
      <c r="L2484" t="s">
        <v>35</v>
      </c>
      <c r="M2484">
        <v>915</v>
      </c>
    </row>
    <row r="2485" spans="1:13">
      <c r="A2485">
        <v>2479</v>
      </c>
      <c r="B2485">
        <v>72790</v>
      </c>
      <c r="C2485" t="s">
        <v>5508</v>
      </c>
      <c r="D2485" t="s">
        <v>130</v>
      </c>
      <c r="E2485" t="s">
        <v>5509</v>
      </c>
      <c r="F2485" t="str">
        <f>"00396916"</f>
        <v>00396916</v>
      </c>
      <c r="G2485" t="s">
        <v>24</v>
      </c>
      <c r="H2485" t="s">
        <v>20</v>
      </c>
      <c r="I2485">
        <v>1577</v>
      </c>
      <c r="J2485" t="s">
        <v>21</v>
      </c>
      <c r="K2485">
        <v>0</v>
      </c>
      <c r="L2485" t="s">
        <v>88</v>
      </c>
      <c r="M2485">
        <v>475</v>
      </c>
    </row>
    <row r="2486" spans="1:13">
      <c r="A2486">
        <v>2480</v>
      </c>
      <c r="B2486">
        <v>47126</v>
      </c>
      <c r="C2486" t="s">
        <v>5510</v>
      </c>
      <c r="D2486" t="s">
        <v>213</v>
      </c>
      <c r="E2486" t="s">
        <v>5511</v>
      </c>
      <c r="F2486" t="str">
        <f>"00269994"</f>
        <v>00269994</v>
      </c>
      <c r="G2486" t="s">
        <v>2625</v>
      </c>
      <c r="H2486" t="s">
        <v>535</v>
      </c>
      <c r="I2486">
        <v>1669</v>
      </c>
      <c r="J2486" t="s">
        <v>21</v>
      </c>
      <c r="K2486">
        <v>0</v>
      </c>
      <c r="M2486">
        <v>1328</v>
      </c>
    </row>
    <row r="2487" spans="1:13">
      <c r="A2487">
        <v>2481</v>
      </c>
      <c r="B2487">
        <v>70367</v>
      </c>
      <c r="C2487" t="s">
        <v>5512</v>
      </c>
      <c r="D2487" t="s">
        <v>65</v>
      </c>
      <c r="E2487" t="s">
        <v>5513</v>
      </c>
      <c r="F2487" t="str">
        <f>"00377208"</f>
        <v>00377208</v>
      </c>
      <c r="G2487" t="s">
        <v>150</v>
      </c>
      <c r="H2487" t="s">
        <v>151</v>
      </c>
      <c r="I2487">
        <v>1699</v>
      </c>
      <c r="J2487" t="s">
        <v>21</v>
      </c>
      <c r="K2487">
        <v>0</v>
      </c>
      <c r="L2487" t="s">
        <v>112</v>
      </c>
      <c r="M2487">
        <v>808</v>
      </c>
    </row>
    <row r="2488" spans="1:13">
      <c r="A2488">
        <v>2482</v>
      </c>
      <c r="B2488">
        <v>79759</v>
      </c>
      <c r="C2488" t="s">
        <v>5514</v>
      </c>
      <c r="D2488" t="s">
        <v>102</v>
      </c>
      <c r="E2488" t="s">
        <v>5515</v>
      </c>
      <c r="F2488" t="str">
        <f>"00391701"</f>
        <v>00391701</v>
      </c>
      <c r="G2488" t="s">
        <v>107</v>
      </c>
      <c r="H2488" t="s">
        <v>20</v>
      </c>
      <c r="I2488">
        <v>1472</v>
      </c>
      <c r="J2488" t="s">
        <v>21</v>
      </c>
      <c r="K2488">
        <v>0</v>
      </c>
      <c r="M2488">
        <v>1478</v>
      </c>
    </row>
    <row r="2489" spans="1:13">
      <c r="A2489">
        <v>2483</v>
      </c>
      <c r="B2489">
        <v>101969</v>
      </c>
      <c r="C2489" t="s">
        <v>5516</v>
      </c>
      <c r="D2489" t="s">
        <v>121</v>
      </c>
      <c r="E2489" t="s">
        <v>5517</v>
      </c>
      <c r="F2489" t="str">
        <f>"00377028"</f>
        <v>00377028</v>
      </c>
      <c r="G2489" t="s">
        <v>1695</v>
      </c>
      <c r="H2489" t="s">
        <v>20</v>
      </c>
      <c r="I2489">
        <v>1533</v>
      </c>
      <c r="J2489" t="s">
        <v>21</v>
      </c>
      <c r="K2489">
        <v>0</v>
      </c>
      <c r="L2489" t="s">
        <v>83</v>
      </c>
      <c r="M2489">
        <v>1228</v>
      </c>
    </row>
    <row r="2490" spans="1:13">
      <c r="A2490">
        <v>2484</v>
      </c>
      <c r="B2490">
        <v>63371</v>
      </c>
      <c r="C2490" t="s">
        <v>5518</v>
      </c>
      <c r="D2490" t="s">
        <v>139</v>
      </c>
      <c r="E2490" t="s">
        <v>5519</v>
      </c>
      <c r="F2490" t="str">
        <f>"00364298"</f>
        <v>00364298</v>
      </c>
      <c r="G2490" t="s">
        <v>540</v>
      </c>
      <c r="H2490" t="s">
        <v>20</v>
      </c>
      <c r="I2490">
        <v>1435</v>
      </c>
      <c r="J2490" t="s">
        <v>21</v>
      </c>
      <c r="K2490">
        <v>0</v>
      </c>
      <c r="L2490" t="s">
        <v>35</v>
      </c>
      <c r="M2490">
        <v>1058</v>
      </c>
    </row>
    <row r="2491" spans="1:13">
      <c r="A2491">
        <v>2485</v>
      </c>
      <c r="B2491">
        <v>99745</v>
      </c>
      <c r="C2491" t="s">
        <v>5520</v>
      </c>
      <c r="D2491" t="s">
        <v>139</v>
      </c>
      <c r="E2491" t="s">
        <v>5521</v>
      </c>
      <c r="F2491" t="str">
        <f>"00374431"</f>
        <v>00374431</v>
      </c>
      <c r="G2491" t="s">
        <v>760</v>
      </c>
      <c r="H2491" t="s">
        <v>20</v>
      </c>
      <c r="I2491">
        <v>1432</v>
      </c>
      <c r="J2491" t="s">
        <v>21</v>
      </c>
      <c r="K2491">
        <v>0</v>
      </c>
      <c r="L2491" t="s">
        <v>35</v>
      </c>
      <c r="M2491">
        <v>1108</v>
      </c>
    </row>
    <row r="2492" spans="1:13">
      <c r="A2492">
        <v>2486</v>
      </c>
      <c r="B2492">
        <v>56176</v>
      </c>
      <c r="C2492" t="s">
        <v>5522</v>
      </c>
      <c r="D2492" t="s">
        <v>76</v>
      </c>
      <c r="E2492" t="s">
        <v>5523</v>
      </c>
      <c r="F2492" t="str">
        <f>"00329140"</f>
        <v>00329140</v>
      </c>
      <c r="G2492" t="s">
        <v>3425</v>
      </c>
      <c r="H2492" t="s">
        <v>20</v>
      </c>
      <c r="I2492">
        <v>1453</v>
      </c>
      <c r="J2492" t="s">
        <v>21</v>
      </c>
      <c r="K2492">
        <v>0</v>
      </c>
      <c r="M2492">
        <v>1328</v>
      </c>
    </row>
    <row r="2493" spans="1:13">
      <c r="A2493">
        <v>2487</v>
      </c>
      <c r="B2493">
        <v>80286</v>
      </c>
      <c r="C2493" t="s">
        <v>5524</v>
      </c>
      <c r="D2493" t="s">
        <v>130</v>
      </c>
      <c r="E2493" t="s">
        <v>5525</v>
      </c>
      <c r="F2493" t="str">
        <f>"00257855"</f>
        <v>00257855</v>
      </c>
      <c r="G2493" t="s">
        <v>211</v>
      </c>
      <c r="H2493" t="s">
        <v>48</v>
      </c>
      <c r="I2493">
        <v>1628</v>
      </c>
      <c r="J2493" t="s">
        <v>21</v>
      </c>
      <c r="K2493">
        <v>0</v>
      </c>
      <c r="L2493" t="s">
        <v>112</v>
      </c>
      <c r="M2493">
        <v>800</v>
      </c>
    </row>
    <row r="2494" spans="1:13">
      <c r="A2494">
        <v>2488</v>
      </c>
      <c r="B2494">
        <v>114152</v>
      </c>
      <c r="C2494" t="s">
        <v>5526</v>
      </c>
      <c r="D2494" t="s">
        <v>80</v>
      </c>
      <c r="E2494" t="s">
        <v>5527</v>
      </c>
      <c r="F2494" t="str">
        <f>"00340829"</f>
        <v>00340829</v>
      </c>
      <c r="G2494" t="s">
        <v>47</v>
      </c>
      <c r="H2494" t="s">
        <v>48</v>
      </c>
      <c r="I2494">
        <v>1623</v>
      </c>
      <c r="J2494" t="s">
        <v>21</v>
      </c>
      <c r="K2494">
        <v>0</v>
      </c>
      <c r="L2494" t="s">
        <v>35</v>
      </c>
      <c r="M2494">
        <v>858</v>
      </c>
    </row>
    <row r="2495" spans="1:13">
      <c r="A2495">
        <v>2489</v>
      </c>
      <c r="B2495">
        <v>104534</v>
      </c>
      <c r="C2495" t="s">
        <v>5528</v>
      </c>
      <c r="D2495" t="s">
        <v>76</v>
      </c>
      <c r="E2495" t="s">
        <v>5529</v>
      </c>
      <c r="F2495" t="str">
        <f>"00407954"</f>
        <v>00407954</v>
      </c>
      <c r="G2495" t="s">
        <v>760</v>
      </c>
      <c r="H2495" t="s">
        <v>20</v>
      </c>
      <c r="I2495">
        <v>1432</v>
      </c>
      <c r="J2495" t="s">
        <v>21</v>
      </c>
      <c r="K2495">
        <v>0</v>
      </c>
      <c r="M2495">
        <v>1488</v>
      </c>
    </row>
    <row r="2496" spans="1:13">
      <c r="A2496">
        <v>2490</v>
      </c>
      <c r="B2496">
        <v>100471</v>
      </c>
      <c r="C2496" t="s">
        <v>5530</v>
      </c>
      <c r="D2496" t="s">
        <v>180</v>
      </c>
      <c r="E2496" t="s">
        <v>5531</v>
      </c>
      <c r="F2496" t="str">
        <f>"00371571"</f>
        <v>00371571</v>
      </c>
      <c r="G2496" t="s">
        <v>47</v>
      </c>
      <c r="H2496" t="s">
        <v>48</v>
      </c>
      <c r="I2496">
        <v>1623</v>
      </c>
      <c r="J2496" t="s">
        <v>21</v>
      </c>
      <c r="K2496">
        <v>0</v>
      </c>
      <c r="L2496" t="s">
        <v>35</v>
      </c>
      <c r="M2496">
        <v>1100</v>
      </c>
    </row>
    <row r="2497" spans="1:13">
      <c r="A2497">
        <v>2491</v>
      </c>
      <c r="B2497">
        <v>103421</v>
      </c>
      <c r="C2497" t="s">
        <v>5532</v>
      </c>
      <c r="D2497" t="s">
        <v>90</v>
      </c>
      <c r="E2497" t="s">
        <v>5533</v>
      </c>
      <c r="F2497" t="str">
        <f>"00392825"</f>
        <v>00392825</v>
      </c>
      <c r="G2497" t="s">
        <v>38</v>
      </c>
      <c r="H2497" t="s">
        <v>39</v>
      </c>
      <c r="I2497">
        <v>1634</v>
      </c>
      <c r="J2497" t="s">
        <v>21</v>
      </c>
      <c r="K2497">
        <v>6</v>
      </c>
      <c r="L2497" t="s">
        <v>35</v>
      </c>
      <c r="M2497">
        <v>600</v>
      </c>
    </row>
    <row r="2498" spans="1:13">
      <c r="A2498">
        <v>2492</v>
      </c>
      <c r="B2498">
        <v>64663</v>
      </c>
      <c r="C2498" t="s">
        <v>5534</v>
      </c>
      <c r="D2498" t="s">
        <v>90</v>
      </c>
      <c r="E2498" t="s">
        <v>5535</v>
      </c>
      <c r="F2498" t="str">
        <f>"201511016589"</f>
        <v>201511016589</v>
      </c>
      <c r="G2498" t="s">
        <v>583</v>
      </c>
      <c r="H2498" t="s">
        <v>738</v>
      </c>
      <c r="I2498">
        <v>1642</v>
      </c>
      <c r="J2498" t="s">
        <v>21</v>
      </c>
      <c r="K2498">
        <v>0</v>
      </c>
      <c r="L2498" t="s">
        <v>35</v>
      </c>
      <c r="M2498">
        <v>900</v>
      </c>
    </row>
    <row r="2499" spans="1:13">
      <c r="A2499">
        <v>2493</v>
      </c>
      <c r="B2499">
        <v>114399</v>
      </c>
      <c r="C2499" t="s">
        <v>5536</v>
      </c>
      <c r="D2499" t="s">
        <v>117</v>
      </c>
      <c r="E2499" t="s">
        <v>5537</v>
      </c>
      <c r="F2499" t="str">
        <f>"00405840"</f>
        <v>00405840</v>
      </c>
      <c r="G2499" t="s">
        <v>856</v>
      </c>
      <c r="H2499" t="s">
        <v>857</v>
      </c>
      <c r="I2499">
        <v>1661</v>
      </c>
      <c r="J2499" t="s">
        <v>21</v>
      </c>
      <c r="K2499">
        <v>0</v>
      </c>
      <c r="L2499" t="s">
        <v>59</v>
      </c>
      <c r="M2499">
        <v>1178</v>
      </c>
    </row>
    <row r="2500" spans="1:13">
      <c r="A2500">
        <v>2494</v>
      </c>
      <c r="B2500">
        <v>88009</v>
      </c>
      <c r="C2500" t="s">
        <v>5538</v>
      </c>
      <c r="D2500" t="s">
        <v>288</v>
      </c>
      <c r="E2500" t="s">
        <v>5539</v>
      </c>
      <c r="F2500" t="str">
        <f>"00405725"</f>
        <v>00405725</v>
      </c>
      <c r="G2500" t="s">
        <v>365</v>
      </c>
      <c r="H2500" t="s">
        <v>366</v>
      </c>
      <c r="I2500">
        <v>1692</v>
      </c>
      <c r="J2500" t="s">
        <v>21</v>
      </c>
      <c r="K2500">
        <v>0</v>
      </c>
      <c r="M2500">
        <v>1378</v>
      </c>
    </row>
    <row r="2501" spans="1:13">
      <c r="A2501">
        <v>2495</v>
      </c>
      <c r="B2501">
        <v>49657</v>
      </c>
      <c r="C2501" t="s">
        <v>5540</v>
      </c>
      <c r="D2501" t="s">
        <v>90</v>
      </c>
      <c r="E2501" t="s">
        <v>5541</v>
      </c>
      <c r="F2501" t="str">
        <f>"00285856"</f>
        <v>00285856</v>
      </c>
      <c r="G2501" t="s">
        <v>713</v>
      </c>
      <c r="H2501" t="s">
        <v>366</v>
      </c>
      <c r="I2501">
        <v>1690</v>
      </c>
      <c r="J2501" t="s">
        <v>21</v>
      </c>
      <c r="K2501">
        <v>0</v>
      </c>
      <c r="L2501" t="s">
        <v>112</v>
      </c>
      <c r="M2501">
        <v>958</v>
      </c>
    </row>
    <row r="2502" spans="1:13">
      <c r="A2502">
        <v>2496</v>
      </c>
      <c r="B2502">
        <v>73791</v>
      </c>
      <c r="C2502" t="s">
        <v>5542</v>
      </c>
      <c r="D2502" t="s">
        <v>90</v>
      </c>
      <c r="E2502" t="s">
        <v>5543</v>
      </c>
      <c r="F2502" t="str">
        <f>"00312062"</f>
        <v>00312062</v>
      </c>
      <c r="G2502" t="s">
        <v>883</v>
      </c>
      <c r="H2502" t="s">
        <v>270</v>
      </c>
      <c r="I2502">
        <v>1585</v>
      </c>
      <c r="J2502" t="s">
        <v>21</v>
      </c>
      <c r="K2502">
        <v>0</v>
      </c>
      <c r="L2502" t="s">
        <v>83</v>
      </c>
      <c r="M2502">
        <v>1228</v>
      </c>
    </row>
    <row r="2503" spans="1:13">
      <c r="A2503">
        <v>2497</v>
      </c>
      <c r="B2503">
        <v>73104</v>
      </c>
      <c r="C2503" t="s">
        <v>5544</v>
      </c>
      <c r="D2503" t="s">
        <v>205</v>
      </c>
      <c r="E2503" t="s">
        <v>5545</v>
      </c>
      <c r="F2503" t="str">
        <f>"00306323"</f>
        <v>00306323</v>
      </c>
      <c r="G2503" t="s">
        <v>428</v>
      </c>
      <c r="H2503" t="s">
        <v>20</v>
      </c>
      <c r="I2503">
        <v>1556</v>
      </c>
      <c r="J2503" t="s">
        <v>21</v>
      </c>
      <c r="K2503">
        <v>6</v>
      </c>
      <c r="M2503">
        <v>1448</v>
      </c>
    </row>
    <row r="2504" spans="1:13">
      <c r="A2504">
        <v>2498</v>
      </c>
      <c r="B2504">
        <v>76886</v>
      </c>
      <c r="C2504" t="s">
        <v>5546</v>
      </c>
      <c r="D2504" t="s">
        <v>563</v>
      </c>
      <c r="E2504" t="s">
        <v>5547</v>
      </c>
      <c r="F2504" t="str">
        <f>"00394015"</f>
        <v>00394015</v>
      </c>
      <c r="G2504" t="s">
        <v>465</v>
      </c>
      <c r="H2504" t="s">
        <v>20</v>
      </c>
      <c r="I2504">
        <v>1534</v>
      </c>
      <c r="J2504" t="s">
        <v>21</v>
      </c>
      <c r="K2504">
        <v>0</v>
      </c>
      <c r="L2504" t="s">
        <v>35</v>
      </c>
      <c r="M2504">
        <v>938</v>
      </c>
    </row>
    <row r="2505" spans="1:13">
      <c r="A2505">
        <v>2499</v>
      </c>
      <c r="B2505">
        <v>56955</v>
      </c>
      <c r="C2505" t="s">
        <v>5548</v>
      </c>
      <c r="D2505" t="s">
        <v>205</v>
      </c>
      <c r="E2505" t="s">
        <v>5549</v>
      </c>
      <c r="F2505" t="str">
        <f>"00255962"</f>
        <v>00255962</v>
      </c>
      <c r="G2505" t="s">
        <v>709</v>
      </c>
      <c r="H2505" t="s">
        <v>20</v>
      </c>
      <c r="I2505">
        <v>1413</v>
      </c>
      <c r="J2505" t="s">
        <v>21</v>
      </c>
      <c r="K2505">
        <v>0</v>
      </c>
      <c r="L2505" t="s">
        <v>35</v>
      </c>
      <c r="M2505">
        <v>883</v>
      </c>
    </row>
    <row r="2506" spans="1:13">
      <c r="A2506">
        <v>2500</v>
      </c>
      <c r="B2506">
        <v>81270</v>
      </c>
      <c r="C2506" t="s">
        <v>5550</v>
      </c>
      <c r="D2506" t="s">
        <v>198</v>
      </c>
      <c r="E2506" t="s">
        <v>5551</v>
      </c>
      <c r="F2506" t="str">
        <f>"201502003884"</f>
        <v>201502003884</v>
      </c>
      <c r="G2506" t="s">
        <v>2081</v>
      </c>
      <c r="H2506" t="s">
        <v>20</v>
      </c>
      <c r="I2506">
        <v>1417</v>
      </c>
      <c r="J2506" t="s">
        <v>21</v>
      </c>
      <c r="K2506">
        <v>0</v>
      </c>
      <c r="M2506">
        <v>1608</v>
      </c>
    </row>
    <row r="2507" spans="1:13">
      <c r="A2507">
        <v>2501</v>
      </c>
      <c r="B2507">
        <v>92048</v>
      </c>
      <c r="C2507" t="s">
        <v>5552</v>
      </c>
      <c r="D2507" t="s">
        <v>102</v>
      </c>
      <c r="E2507" t="s">
        <v>5553</v>
      </c>
      <c r="F2507" t="str">
        <f>"00398754"</f>
        <v>00398754</v>
      </c>
      <c r="G2507" t="s">
        <v>38</v>
      </c>
      <c r="H2507" t="s">
        <v>39</v>
      </c>
      <c r="I2507">
        <v>1634</v>
      </c>
      <c r="J2507" t="s">
        <v>21</v>
      </c>
      <c r="K2507">
        <v>6</v>
      </c>
      <c r="M2507">
        <v>1463</v>
      </c>
    </row>
    <row r="2508" spans="1:13">
      <c r="A2508">
        <v>2502</v>
      </c>
      <c r="B2508">
        <v>52537</v>
      </c>
      <c r="C2508" t="s">
        <v>5554</v>
      </c>
      <c r="D2508" t="s">
        <v>105</v>
      </c>
      <c r="E2508" t="s">
        <v>5555</v>
      </c>
      <c r="F2508" t="str">
        <f>"00284247"</f>
        <v>00284247</v>
      </c>
      <c r="G2508" t="s">
        <v>446</v>
      </c>
      <c r="H2508" t="s">
        <v>137</v>
      </c>
      <c r="I2508">
        <v>1602</v>
      </c>
      <c r="J2508" t="s">
        <v>21</v>
      </c>
      <c r="K2508">
        <v>0</v>
      </c>
      <c r="M2508">
        <v>1978</v>
      </c>
    </row>
    <row r="2509" spans="1:13">
      <c r="A2509">
        <v>2503</v>
      </c>
      <c r="B2509">
        <v>94148</v>
      </c>
      <c r="C2509" t="s">
        <v>5556</v>
      </c>
      <c r="D2509" t="s">
        <v>566</v>
      </c>
      <c r="E2509" t="s">
        <v>5557</v>
      </c>
      <c r="F2509" t="str">
        <f>"00400884"</f>
        <v>00400884</v>
      </c>
      <c r="G2509" t="s">
        <v>107</v>
      </c>
      <c r="H2509" t="s">
        <v>20</v>
      </c>
      <c r="I2509">
        <v>1472</v>
      </c>
      <c r="J2509" t="s">
        <v>21</v>
      </c>
      <c r="K2509">
        <v>0</v>
      </c>
      <c r="L2509" t="s">
        <v>35</v>
      </c>
      <c r="M2509">
        <v>908</v>
      </c>
    </row>
    <row r="2510" spans="1:13">
      <c r="A2510">
        <v>2504</v>
      </c>
      <c r="B2510">
        <v>103466</v>
      </c>
      <c r="C2510" t="s">
        <v>5558</v>
      </c>
      <c r="D2510" t="s">
        <v>180</v>
      </c>
      <c r="E2510" t="s">
        <v>5559</v>
      </c>
      <c r="F2510" t="str">
        <f>"00393509"</f>
        <v>00393509</v>
      </c>
      <c r="G2510" t="s">
        <v>676</v>
      </c>
      <c r="H2510" t="s">
        <v>234</v>
      </c>
      <c r="I2510">
        <v>1338</v>
      </c>
      <c r="J2510" t="s">
        <v>21</v>
      </c>
      <c r="K2510">
        <v>6</v>
      </c>
      <c r="L2510" t="s">
        <v>59</v>
      </c>
      <c r="M2510">
        <v>992</v>
      </c>
    </row>
    <row r="2511" spans="1:13">
      <c r="A2511">
        <v>2505</v>
      </c>
      <c r="B2511">
        <v>94228</v>
      </c>
      <c r="C2511" t="s">
        <v>5560</v>
      </c>
      <c r="D2511" t="s">
        <v>145</v>
      </c>
      <c r="E2511" t="s">
        <v>5561</v>
      </c>
      <c r="F2511" t="str">
        <f>"00378744"</f>
        <v>00378744</v>
      </c>
      <c r="G2511" t="s">
        <v>258</v>
      </c>
      <c r="H2511" t="s">
        <v>20</v>
      </c>
      <c r="I2511">
        <v>1484</v>
      </c>
      <c r="J2511" t="s">
        <v>21</v>
      </c>
      <c r="K2511">
        <v>0</v>
      </c>
      <c r="M2511">
        <v>1511</v>
      </c>
    </row>
    <row r="2512" spans="1:13">
      <c r="A2512">
        <v>2506</v>
      </c>
      <c r="B2512">
        <v>71698</v>
      </c>
      <c r="C2512" t="s">
        <v>5562</v>
      </c>
      <c r="D2512" t="s">
        <v>145</v>
      </c>
      <c r="E2512" t="s">
        <v>5563</v>
      </c>
      <c r="F2512" t="str">
        <f>"00383265"</f>
        <v>00383265</v>
      </c>
      <c r="G2512" t="s">
        <v>258</v>
      </c>
      <c r="H2512" t="s">
        <v>20</v>
      </c>
      <c r="I2512">
        <v>1484</v>
      </c>
      <c r="J2512" t="s">
        <v>21</v>
      </c>
      <c r="K2512">
        <v>0</v>
      </c>
      <c r="L2512" t="s">
        <v>35</v>
      </c>
      <c r="M2512">
        <v>1108</v>
      </c>
    </row>
    <row r="2513" spans="1:13">
      <c r="A2513">
        <v>2507</v>
      </c>
      <c r="B2513">
        <v>94951</v>
      </c>
      <c r="C2513" t="s">
        <v>5564</v>
      </c>
      <c r="D2513" t="s">
        <v>213</v>
      </c>
      <c r="E2513" t="s">
        <v>5565</v>
      </c>
      <c r="F2513" t="str">
        <f>"00250294"</f>
        <v>00250294</v>
      </c>
      <c r="G2513" t="s">
        <v>196</v>
      </c>
      <c r="H2513" t="s">
        <v>20</v>
      </c>
      <c r="I2513">
        <v>1512</v>
      </c>
      <c r="J2513" t="s">
        <v>21</v>
      </c>
      <c r="K2513">
        <v>6</v>
      </c>
      <c r="M2513">
        <v>1665</v>
      </c>
    </row>
    <row r="2514" spans="1:13">
      <c r="A2514">
        <v>2508</v>
      </c>
      <c r="B2514">
        <v>75030</v>
      </c>
      <c r="C2514" t="s">
        <v>5566</v>
      </c>
      <c r="D2514" t="s">
        <v>109</v>
      </c>
      <c r="E2514" t="s">
        <v>5567</v>
      </c>
      <c r="F2514" t="str">
        <f>"00368199"</f>
        <v>00368199</v>
      </c>
      <c r="G2514" t="s">
        <v>446</v>
      </c>
      <c r="H2514" t="s">
        <v>137</v>
      </c>
      <c r="I2514">
        <v>1602</v>
      </c>
      <c r="J2514" t="s">
        <v>21</v>
      </c>
      <c r="K2514">
        <v>0</v>
      </c>
      <c r="M2514">
        <v>1488</v>
      </c>
    </row>
    <row r="2515" spans="1:13">
      <c r="A2515">
        <v>2509</v>
      </c>
      <c r="B2515">
        <v>47599</v>
      </c>
      <c r="C2515" t="s">
        <v>5568</v>
      </c>
      <c r="D2515" t="s">
        <v>76</v>
      </c>
      <c r="E2515" t="s">
        <v>5569</v>
      </c>
      <c r="F2515" t="str">
        <f>"00361713"</f>
        <v>00361713</v>
      </c>
      <c r="G2515" t="s">
        <v>696</v>
      </c>
      <c r="H2515" t="s">
        <v>20</v>
      </c>
      <c r="I2515">
        <v>1520</v>
      </c>
      <c r="J2515" t="s">
        <v>21</v>
      </c>
      <c r="K2515">
        <v>0</v>
      </c>
      <c r="M2515">
        <v>1404</v>
      </c>
    </row>
    <row r="2516" spans="1:13">
      <c r="A2516">
        <v>2510</v>
      </c>
      <c r="B2516">
        <v>62286</v>
      </c>
      <c r="C2516" t="s">
        <v>5570</v>
      </c>
      <c r="D2516" t="s">
        <v>180</v>
      </c>
      <c r="E2516" t="s">
        <v>5571</v>
      </c>
      <c r="F2516" t="str">
        <f>"201511016017"</f>
        <v>201511016017</v>
      </c>
      <c r="G2516" t="s">
        <v>593</v>
      </c>
      <c r="H2516" t="s">
        <v>20</v>
      </c>
      <c r="I2516">
        <v>1444</v>
      </c>
      <c r="J2516" t="s">
        <v>21</v>
      </c>
      <c r="K2516">
        <v>0</v>
      </c>
      <c r="L2516" t="s">
        <v>35</v>
      </c>
      <c r="M2516">
        <v>1274</v>
      </c>
    </row>
    <row r="2517" spans="1:13">
      <c r="A2517">
        <v>2511</v>
      </c>
      <c r="B2517">
        <v>78555</v>
      </c>
      <c r="C2517" t="s">
        <v>5572</v>
      </c>
      <c r="D2517" t="s">
        <v>80</v>
      </c>
      <c r="E2517" t="s">
        <v>5573</v>
      </c>
      <c r="F2517" t="str">
        <f>"00252026"</f>
        <v>00252026</v>
      </c>
      <c r="G2517" t="s">
        <v>883</v>
      </c>
      <c r="H2517" t="s">
        <v>270</v>
      </c>
      <c r="I2517">
        <v>1585</v>
      </c>
      <c r="J2517" t="s">
        <v>21</v>
      </c>
      <c r="K2517">
        <v>0</v>
      </c>
      <c r="L2517" t="s">
        <v>35</v>
      </c>
      <c r="M2517">
        <v>1172</v>
      </c>
    </row>
    <row r="2518" spans="1:13">
      <c r="A2518">
        <v>2512</v>
      </c>
      <c r="B2518">
        <v>94430</v>
      </c>
      <c r="C2518" t="s">
        <v>5574</v>
      </c>
      <c r="D2518" t="s">
        <v>105</v>
      </c>
      <c r="E2518" t="s">
        <v>5575</v>
      </c>
      <c r="F2518" t="str">
        <f>"00142747"</f>
        <v>00142747</v>
      </c>
      <c r="G2518" t="s">
        <v>96</v>
      </c>
      <c r="H2518" t="s">
        <v>20</v>
      </c>
      <c r="I2518">
        <v>1474</v>
      </c>
      <c r="J2518" t="s">
        <v>21</v>
      </c>
      <c r="K2518">
        <v>0</v>
      </c>
      <c r="L2518" t="s">
        <v>35</v>
      </c>
      <c r="M2518">
        <v>1108</v>
      </c>
    </row>
    <row r="2519" spans="1:13">
      <c r="A2519">
        <v>2513</v>
      </c>
      <c r="B2519">
        <v>58234</v>
      </c>
      <c r="C2519" t="s">
        <v>5576</v>
      </c>
      <c r="D2519" t="s">
        <v>105</v>
      </c>
      <c r="E2519" t="s">
        <v>5577</v>
      </c>
      <c r="F2519" t="str">
        <f>"00376402"</f>
        <v>00376402</v>
      </c>
      <c r="G2519" t="s">
        <v>96</v>
      </c>
      <c r="H2519" t="s">
        <v>20</v>
      </c>
      <c r="I2519">
        <v>1474</v>
      </c>
      <c r="J2519" t="s">
        <v>21</v>
      </c>
      <c r="K2519">
        <v>0</v>
      </c>
      <c r="L2519" t="s">
        <v>35</v>
      </c>
      <c r="M2519">
        <v>975</v>
      </c>
    </row>
    <row r="2520" spans="1:13">
      <c r="A2520">
        <v>2514</v>
      </c>
      <c r="B2520">
        <v>64463</v>
      </c>
      <c r="C2520" t="s">
        <v>5578</v>
      </c>
      <c r="D2520" t="s">
        <v>121</v>
      </c>
      <c r="E2520" t="s">
        <v>5579</v>
      </c>
      <c r="F2520" t="str">
        <f>"00249355"</f>
        <v>00249355</v>
      </c>
      <c r="G2520" t="s">
        <v>1595</v>
      </c>
      <c r="H2520" t="s">
        <v>20</v>
      </c>
      <c r="I2520">
        <v>1538</v>
      </c>
      <c r="J2520" t="s">
        <v>21</v>
      </c>
      <c r="K2520">
        <v>6</v>
      </c>
      <c r="M2520">
        <v>1278</v>
      </c>
    </row>
    <row r="2521" spans="1:13">
      <c r="A2521">
        <v>2515</v>
      </c>
      <c r="B2521">
        <v>94002</v>
      </c>
      <c r="C2521" t="s">
        <v>5580</v>
      </c>
      <c r="D2521" t="s">
        <v>566</v>
      </c>
      <c r="E2521" t="s">
        <v>5581</v>
      </c>
      <c r="F2521" t="str">
        <f>"200802003999"</f>
        <v>200802003999</v>
      </c>
      <c r="G2521" t="s">
        <v>763</v>
      </c>
      <c r="H2521" t="s">
        <v>20</v>
      </c>
      <c r="I2521">
        <v>1430</v>
      </c>
      <c r="J2521" t="s">
        <v>21</v>
      </c>
      <c r="K2521">
        <v>0</v>
      </c>
      <c r="L2521" t="s">
        <v>83</v>
      </c>
      <c r="M2521">
        <v>1251</v>
      </c>
    </row>
    <row r="2522" spans="1:13">
      <c r="A2522">
        <v>2516</v>
      </c>
      <c r="B2522">
        <v>98905</v>
      </c>
      <c r="C2522" t="s">
        <v>5582</v>
      </c>
      <c r="D2522" t="s">
        <v>5583</v>
      </c>
      <c r="E2522" t="s">
        <v>5584</v>
      </c>
      <c r="F2522" t="str">
        <f>"00346743"</f>
        <v>00346743</v>
      </c>
      <c r="G2522" t="s">
        <v>696</v>
      </c>
      <c r="H2522" t="s">
        <v>20</v>
      </c>
      <c r="I2522">
        <v>1520</v>
      </c>
      <c r="J2522" t="s">
        <v>21</v>
      </c>
      <c r="K2522">
        <v>0</v>
      </c>
      <c r="L2522" t="s">
        <v>35</v>
      </c>
      <c r="M2522">
        <v>1008</v>
      </c>
    </row>
    <row r="2523" spans="1:13">
      <c r="A2523">
        <v>2517</v>
      </c>
      <c r="B2523">
        <v>67873</v>
      </c>
      <c r="C2523" t="s">
        <v>5585</v>
      </c>
      <c r="D2523" t="s">
        <v>198</v>
      </c>
      <c r="E2523" t="s">
        <v>5586</v>
      </c>
      <c r="F2523" t="str">
        <f>"00391496"</f>
        <v>00391496</v>
      </c>
      <c r="G2523" t="s">
        <v>2768</v>
      </c>
      <c r="H2523" t="s">
        <v>20</v>
      </c>
      <c r="I2523">
        <v>1409</v>
      </c>
      <c r="J2523" t="s">
        <v>21</v>
      </c>
      <c r="K2523">
        <v>0</v>
      </c>
      <c r="L2523" t="s">
        <v>35</v>
      </c>
      <c r="M2523">
        <v>908</v>
      </c>
    </row>
    <row r="2524" spans="1:13">
      <c r="A2524">
        <v>2518</v>
      </c>
      <c r="B2524">
        <v>51695</v>
      </c>
      <c r="C2524" t="s">
        <v>5587</v>
      </c>
      <c r="D2524" t="s">
        <v>243</v>
      </c>
      <c r="E2524" t="s">
        <v>5588</v>
      </c>
      <c r="F2524" t="str">
        <f>"00373740"</f>
        <v>00373740</v>
      </c>
      <c r="G2524" t="s">
        <v>994</v>
      </c>
      <c r="H2524" t="s">
        <v>20</v>
      </c>
      <c r="I2524">
        <v>1522</v>
      </c>
      <c r="J2524" t="s">
        <v>21</v>
      </c>
      <c r="K2524">
        <v>0</v>
      </c>
      <c r="L2524" t="s">
        <v>35</v>
      </c>
      <c r="M2524">
        <v>908</v>
      </c>
    </row>
    <row r="2525" spans="1:13">
      <c r="A2525">
        <v>2519</v>
      </c>
      <c r="B2525">
        <v>61707</v>
      </c>
      <c r="C2525" t="s">
        <v>5589</v>
      </c>
      <c r="D2525" t="s">
        <v>80</v>
      </c>
      <c r="E2525" t="s">
        <v>5590</v>
      </c>
      <c r="F2525" t="str">
        <f>"201604000298"</f>
        <v>201604000298</v>
      </c>
      <c r="G2525" t="s">
        <v>170</v>
      </c>
      <c r="H2525" t="s">
        <v>20</v>
      </c>
      <c r="I2525">
        <v>1412</v>
      </c>
      <c r="J2525" t="s">
        <v>21</v>
      </c>
      <c r="K2525">
        <v>0</v>
      </c>
      <c r="M2525">
        <v>1544</v>
      </c>
    </row>
    <row r="2526" spans="1:13">
      <c r="A2526">
        <v>2520</v>
      </c>
      <c r="B2526">
        <v>55308</v>
      </c>
      <c r="C2526" t="s">
        <v>5591</v>
      </c>
      <c r="D2526" t="s">
        <v>905</v>
      </c>
      <c r="E2526" t="s">
        <v>5592</v>
      </c>
      <c r="F2526" t="str">
        <f>"00351712"</f>
        <v>00351712</v>
      </c>
      <c r="G2526" t="s">
        <v>2025</v>
      </c>
      <c r="H2526" t="s">
        <v>20</v>
      </c>
      <c r="I2526">
        <v>1570</v>
      </c>
      <c r="J2526" t="s">
        <v>21</v>
      </c>
      <c r="K2526">
        <v>6</v>
      </c>
      <c r="L2526" t="s">
        <v>35</v>
      </c>
      <c r="M2526">
        <v>1300</v>
      </c>
    </row>
    <row r="2527" spans="1:13">
      <c r="A2527">
        <v>2521</v>
      </c>
      <c r="B2527">
        <v>99129</v>
      </c>
      <c r="C2527" t="s">
        <v>5593</v>
      </c>
      <c r="D2527" t="s">
        <v>105</v>
      </c>
      <c r="E2527" t="s">
        <v>5594</v>
      </c>
      <c r="F2527" t="str">
        <f>"00359852"</f>
        <v>00359852</v>
      </c>
      <c r="G2527" t="s">
        <v>3707</v>
      </c>
      <c r="H2527" t="s">
        <v>20</v>
      </c>
      <c r="I2527">
        <v>1437</v>
      </c>
      <c r="J2527" t="s">
        <v>21</v>
      </c>
      <c r="K2527">
        <v>6</v>
      </c>
      <c r="L2527" t="s">
        <v>35</v>
      </c>
      <c r="M2527">
        <v>1183</v>
      </c>
    </row>
    <row r="2528" spans="1:13">
      <c r="A2528">
        <v>2522</v>
      </c>
      <c r="B2528">
        <v>78722</v>
      </c>
      <c r="C2528" t="s">
        <v>5595</v>
      </c>
      <c r="D2528" t="s">
        <v>76</v>
      </c>
      <c r="E2528" t="s">
        <v>5596</v>
      </c>
      <c r="F2528" t="str">
        <f>"00025563"</f>
        <v>00025563</v>
      </c>
      <c r="G2528" t="s">
        <v>358</v>
      </c>
      <c r="H2528" t="s">
        <v>20</v>
      </c>
      <c r="I2528">
        <v>1549</v>
      </c>
      <c r="J2528" t="s">
        <v>21</v>
      </c>
      <c r="K2528">
        <v>0</v>
      </c>
      <c r="M2528">
        <v>1728</v>
      </c>
    </row>
    <row r="2529" spans="1:13">
      <c r="A2529">
        <v>2523</v>
      </c>
      <c r="B2529">
        <v>70547</v>
      </c>
      <c r="C2529" t="s">
        <v>5597</v>
      </c>
      <c r="D2529" t="s">
        <v>243</v>
      </c>
      <c r="E2529" t="s">
        <v>5598</v>
      </c>
      <c r="F2529" t="str">
        <f>"00377699"</f>
        <v>00377699</v>
      </c>
      <c r="G2529" t="s">
        <v>358</v>
      </c>
      <c r="H2529" t="s">
        <v>20</v>
      </c>
      <c r="I2529">
        <v>1549</v>
      </c>
      <c r="J2529" t="s">
        <v>21</v>
      </c>
      <c r="K2529">
        <v>0</v>
      </c>
      <c r="M2529">
        <v>1728</v>
      </c>
    </row>
    <row r="2530" spans="1:13">
      <c r="A2530">
        <v>2524</v>
      </c>
      <c r="B2530">
        <v>100533</v>
      </c>
      <c r="C2530" t="s">
        <v>5599</v>
      </c>
      <c r="D2530" t="s">
        <v>145</v>
      </c>
      <c r="E2530" t="s">
        <v>5600</v>
      </c>
      <c r="F2530" t="str">
        <f>"00370744"</f>
        <v>00370744</v>
      </c>
      <c r="G2530" t="s">
        <v>1160</v>
      </c>
      <c r="H2530" t="s">
        <v>20</v>
      </c>
      <c r="I2530">
        <v>1424</v>
      </c>
      <c r="J2530" t="s">
        <v>21</v>
      </c>
      <c r="K2530">
        <v>0</v>
      </c>
      <c r="L2530" t="s">
        <v>88</v>
      </c>
      <c r="M2530">
        <v>838</v>
      </c>
    </row>
    <row r="2531" spans="1:13">
      <c r="A2531">
        <v>2525</v>
      </c>
      <c r="B2531">
        <v>111738</v>
      </c>
      <c r="C2531" t="s">
        <v>5601</v>
      </c>
      <c r="D2531" t="s">
        <v>80</v>
      </c>
      <c r="E2531" t="s">
        <v>5602</v>
      </c>
      <c r="F2531" t="str">
        <f>"00346667"</f>
        <v>00346667</v>
      </c>
      <c r="G2531" t="s">
        <v>4415</v>
      </c>
      <c r="H2531" t="s">
        <v>535</v>
      </c>
      <c r="I2531">
        <v>1664</v>
      </c>
      <c r="J2531" t="s">
        <v>21</v>
      </c>
      <c r="K2531">
        <v>0</v>
      </c>
      <c r="L2531" t="s">
        <v>35</v>
      </c>
      <c r="M2531">
        <v>972</v>
      </c>
    </row>
    <row r="2532" spans="1:13">
      <c r="A2532">
        <v>2526</v>
      </c>
      <c r="B2532">
        <v>68843</v>
      </c>
      <c r="C2532" t="s">
        <v>5603</v>
      </c>
      <c r="D2532" t="s">
        <v>213</v>
      </c>
      <c r="E2532" t="s">
        <v>5604</v>
      </c>
      <c r="F2532" t="str">
        <f>"00377669"</f>
        <v>00377669</v>
      </c>
      <c r="G2532" t="s">
        <v>520</v>
      </c>
      <c r="H2532" t="s">
        <v>20</v>
      </c>
      <c r="I2532">
        <v>1540</v>
      </c>
      <c r="J2532" t="s">
        <v>21</v>
      </c>
      <c r="K2532">
        <v>0</v>
      </c>
      <c r="M2532">
        <v>1388</v>
      </c>
    </row>
    <row r="2533" spans="1:13">
      <c r="A2533">
        <v>2527</v>
      </c>
      <c r="B2533">
        <v>63184</v>
      </c>
      <c r="C2533" t="s">
        <v>5605</v>
      </c>
      <c r="D2533" t="s">
        <v>5606</v>
      </c>
      <c r="E2533" t="s">
        <v>5607</v>
      </c>
      <c r="F2533" t="str">
        <f>"00352245"</f>
        <v>00352245</v>
      </c>
      <c r="G2533" t="s">
        <v>47</v>
      </c>
      <c r="H2533" t="s">
        <v>48</v>
      </c>
      <c r="I2533">
        <v>1623</v>
      </c>
      <c r="J2533" t="s">
        <v>21</v>
      </c>
      <c r="K2533">
        <v>0</v>
      </c>
      <c r="L2533" t="s">
        <v>88</v>
      </c>
      <c r="M2533">
        <v>500</v>
      </c>
    </row>
    <row r="2534" spans="1:13">
      <c r="A2534">
        <v>2528</v>
      </c>
      <c r="B2534">
        <v>53239</v>
      </c>
      <c r="C2534" t="s">
        <v>5608</v>
      </c>
      <c r="D2534" t="s">
        <v>243</v>
      </c>
      <c r="E2534">
        <v>447441</v>
      </c>
      <c r="F2534" t="str">
        <f>"00356975"</f>
        <v>00356975</v>
      </c>
      <c r="G2534" t="s">
        <v>341</v>
      </c>
      <c r="H2534" t="s">
        <v>2515</v>
      </c>
      <c r="I2534">
        <v>1348</v>
      </c>
      <c r="J2534" t="s">
        <v>21</v>
      </c>
      <c r="K2534">
        <v>6</v>
      </c>
      <c r="L2534" t="s">
        <v>35</v>
      </c>
      <c r="M2534">
        <v>1008</v>
      </c>
    </row>
    <row r="2535" spans="1:13">
      <c r="A2535">
        <v>2529</v>
      </c>
      <c r="B2535">
        <v>96557</v>
      </c>
      <c r="C2535" t="s">
        <v>5609</v>
      </c>
      <c r="D2535" t="s">
        <v>105</v>
      </c>
      <c r="E2535" t="s">
        <v>5610</v>
      </c>
      <c r="F2535" t="str">
        <f>"201510000624"</f>
        <v>201510000624</v>
      </c>
      <c r="G2535" t="s">
        <v>107</v>
      </c>
      <c r="H2535" t="s">
        <v>20</v>
      </c>
      <c r="I2535">
        <v>1472</v>
      </c>
      <c r="J2535" t="s">
        <v>21</v>
      </c>
      <c r="K2535">
        <v>0</v>
      </c>
      <c r="M2535">
        <v>1628</v>
      </c>
    </row>
    <row r="2536" spans="1:13">
      <c r="A2536">
        <v>2530</v>
      </c>
      <c r="B2536">
        <v>58041</v>
      </c>
      <c r="C2536" t="s">
        <v>5611</v>
      </c>
      <c r="D2536" t="s">
        <v>80</v>
      </c>
      <c r="E2536" t="s">
        <v>5612</v>
      </c>
      <c r="F2536" t="str">
        <f>"00339128"</f>
        <v>00339128</v>
      </c>
      <c r="G2536" t="s">
        <v>1764</v>
      </c>
      <c r="H2536" t="s">
        <v>20</v>
      </c>
      <c r="I2536">
        <v>1532</v>
      </c>
      <c r="J2536" t="s">
        <v>21</v>
      </c>
      <c r="K2536">
        <v>0</v>
      </c>
      <c r="L2536" t="s">
        <v>35</v>
      </c>
      <c r="M2536">
        <v>1000</v>
      </c>
    </row>
    <row r="2537" spans="1:13">
      <c r="A2537">
        <v>2531</v>
      </c>
      <c r="B2537">
        <v>103713</v>
      </c>
      <c r="C2537" t="s">
        <v>5613</v>
      </c>
      <c r="D2537" t="s">
        <v>76</v>
      </c>
      <c r="E2537" t="s">
        <v>5614</v>
      </c>
      <c r="F2537" t="str">
        <f>"00388706"</f>
        <v>00388706</v>
      </c>
      <c r="G2537" t="s">
        <v>125</v>
      </c>
      <c r="H2537" t="s">
        <v>20</v>
      </c>
      <c r="I2537">
        <v>1507</v>
      </c>
      <c r="J2537" t="s">
        <v>21</v>
      </c>
      <c r="K2537">
        <v>0</v>
      </c>
      <c r="M2537">
        <v>1476</v>
      </c>
    </row>
    <row r="2538" spans="1:13">
      <c r="A2538">
        <v>2532</v>
      </c>
      <c r="B2538">
        <v>88216</v>
      </c>
      <c r="C2538" t="s">
        <v>5615</v>
      </c>
      <c r="D2538" t="s">
        <v>905</v>
      </c>
      <c r="E2538" t="s">
        <v>5616</v>
      </c>
      <c r="F2538" t="str">
        <f>"00200733"</f>
        <v>00200733</v>
      </c>
      <c r="G2538" t="s">
        <v>19</v>
      </c>
      <c r="H2538" t="s">
        <v>20</v>
      </c>
      <c r="I2538">
        <v>1531</v>
      </c>
      <c r="J2538" t="s">
        <v>21</v>
      </c>
      <c r="K2538">
        <v>0</v>
      </c>
      <c r="L2538" t="s">
        <v>35</v>
      </c>
      <c r="M2538">
        <v>937</v>
      </c>
    </row>
    <row r="2539" spans="1:13">
      <c r="A2539">
        <v>2533</v>
      </c>
      <c r="B2539">
        <v>79874</v>
      </c>
      <c r="C2539" t="s">
        <v>5617</v>
      </c>
      <c r="D2539" t="s">
        <v>267</v>
      </c>
      <c r="E2539" t="s">
        <v>5618</v>
      </c>
      <c r="F2539" t="str">
        <f>"00259016"</f>
        <v>00259016</v>
      </c>
      <c r="G2539" t="s">
        <v>107</v>
      </c>
      <c r="H2539" t="s">
        <v>20</v>
      </c>
      <c r="I2539">
        <v>1472</v>
      </c>
      <c r="J2539" t="s">
        <v>21</v>
      </c>
      <c r="K2539">
        <v>0</v>
      </c>
      <c r="M2539">
        <v>1378</v>
      </c>
    </row>
    <row r="2540" spans="1:13">
      <c r="A2540">
        <v>2534</v>
      </c>
      <c r="B2540">
        <v>96320</v>
      </c>
      <c r="C2540" t="s">
        <v>5619</v>
      </c>
      <c r="D2540" t="s">
        <v>94</v>
      </c>
      <c r="E2540" t="s">
        <v>5620</v>
      </c>
      <c r="F2540" t="str">
        <f>"00386530"</f>
        <v>00386530</v>
      </c>
      <c r="G2540" t="s">
        <v>107</v>
      </c>
      <c r="H2540" t="s">
        <v>20</v>
      </c>
      <c r="I2540">
        <v>1472</v>
      </c>
      <c r="J2540" t="s">
        <v>21</v>
      </c>
      <c r="K2540">
        <v>0</v>
      </c>
      <c r="L2540" t="s">
        <v>35</v>
      </c>
      <c r="M2540">
        <v>908</v>
      </c>
    </row>
    <row r="2541" spans="1:13">
      <c r="A2541">
        <v>2535</v>
      </c>
      <c r="B2541">
        <v>57066</v>
      </c>
      <c r="C2541" t="s">
        <v>5621</v>
      </c>
      <c r="D2541" t="s">
        <v>180</v>
      </c>
      <c r="E2541" t="s">
        <v>5622</v>
      </c>
      <c r="F2541" t="str">
        <f>"00251938"</f>
        <v>00251938</v>
      </c>
      <c r="G2541" t="s">
        <v>2855</v>
      </c>
      <c r="H2541" t="s">
        <v>20</v>
      </c>
      <c r="I2541">
        <v>1561</v>
      </c>
      <c r="J2541" t="s">
        <v>21</v>
      </c>
      <c r="K2541">
        <v>6</v>
      </c>
      <c r="M2541">
        <v>983</v>
      </c>
    </row>
    <row r="2542" spans="1:13">
      <c r="A2542">
        <v>2536</v>
      </c>
      <c r="B2542">
        <v>80490</v>
      </c>
      <c r="C2542" t="s">
        <v>5623</v>
      </c>
      <c r="D2542" t="s">
        <v>80</v>
      </c>
      <c r="E2542" t="s">
        <v>5624</v>
      </c>
      <c r="F2542" t="str">
        <f>"00375186"</f>
        <v>00375186</v>
      </c>
      <c r="G2542" t="s">
        <v>488</v>
      </c>
      <c r="H2542" t="s">
        <v>20</v>
      </c>
      <c r="I2542">
        <v>1482</v>
      </c>
      <c r="J2542" t="s">
        <v>21</v>
      </c>
      <c r="K2542">
        <v>0</v>
      </c>
      <c r="L2542" t="s">
        <v>35</v>
      </c>
      <c r="M2542">
        <v>1000</v>
      </c>
    </row>
    <row r="2543" spans="1:13">
      <c r="A2543">
        <v>2537</v>
      </c>
      <c r="B2543">
        <v>68161</v>
      </c>
      <c r="C2543" t="s">
        <v>5625</v>
      </c>
      <c r="D2543" t="s">
        <v>243</v>
      </c>
      <c r="E2543" t="s">
        <v>5626</v>
      </c>
      <c r="F2543" t="str">
        <f>"00381280"</f>
        <v>00381280</v>
      </c>
      <c r="G2543" t="s">
        <v>47</v>
      </c>
      <c r="H2543" t="s">
        <v>48</v>
      </c>
      <c r="I2543">
        <v>1623</v>
      </c>
      <c r="J2543" t="s">
        <v>21</v>
      </c>
      <c r="K2543">
        <v>0</v>
      </c>
      <c r="M2543">
        <v>1328</v>
      </c>
    </row>
    <row r="2544" spans="1:13">
      <c r="A2544">
        <v>2538</v>
      </c>
      <c r="B2544">
        <v>115420</v>
      </c>
      <c r="C2544" t="s">
        <v>5627</v>
      </c>
      <c r="D2544" t="s">
        <v>145</v>
      </c>
      <c r="E2544" t="s">
        <v>5628</v>
      </c>
      <c r="F2544" t="str">
        <f>"00419269"</f>
        <v>00419269</v>
      </c>
      <c r="G2544" t="s">
        <v>200</v>
      </c>
      <c r="H2544" t="s">
        <v>20</v>
      </c>
      <c r="I2544">
        <v>1492</v>
      </c>
      <c r="J2544" t="s">
        <v>21</v>
      </c>
      <c r="K2544">
        <v>0</v>
      </c>
      <c r="L2544" t="s">
        <v>35</v>
      </c>
      <c r="M2544">
        <v>908</v>
      </c>
    </row>
    <row r="2545" spans="1:13">
      <c r="A2545">
        <v>2539</v>
      </c>
      <c r="B2545">
        <v>104455</v>
      </c>
      <c r="C2545" t="s">
        <v>5629</v>
      </c>
      <c r="D2545" t="s">
        <v>94</v>
      </c>
      <c r="E2545" t="s">
        <v>5630</v>
      </c>
      <c r="F2545" t="str">
        <f>"00397020"</f>
        <v>00397020</v>
      </c>
      <c r="G2545" t="s">
        <v>107</v>
      </c>
      <c r="H2545" t="s">
        <v>20</v>
      </c>
      <c r="I2545">
        <v>1472</v>
      </c>
      <c r="J2545" t="s">
        <v>21</v>
      </c>
      <c r="K2545">
        <v>0</v>
      </c>
      <c r="L2545" t="s">
        <v>35</v>
      </c>
      <c r="M2545">
        <v>908</v>
      </c>
    </row>
    <row r="2546" spans="1:13">
      <c r="A2546">
        <v>2540</v>
      </c>
      <c r="B2546">
        <v>65867</v>
      </c>
      <c r="C2546" t="s">
        <v>5631</v>
      </c>
      <c r="D2546" t="s">
        <v>218</v>
      </c>
      <c r="E2546" t="s">
        <v>5632</v>
      </c>
      <c r="F2546" t="str">
        <f>"200802002633"</f>
        <v>200802002633</v>
      </c>
      <c r="G2546" t="s">
        <v>167</v>
      </c>
      <c r="H2546" t="s">
        <v>20</v>
      </c>
      <c r="I2546">
        <v>1486</v>
      </c>
      <c r="J2546" t="s">
        <v>21</v>
      </c>
      <c r="K2546">
        <v>0</v>
      </c>
      <c r="L2546" t="s">
        <v>35</v>
      </c>
      <c r="M2546">
        <v>1223</v>
      </c>
    </row>
    <row r="2547" spans="1:13">
      <c r="A2547">
        <v>2541</v>
      </c>
      <c r="B2547">
        <v>83609</v>
      </c>
      <c r="C2547" t="s">
        <v>5633</v>
      </c>
      <c r="D2547" t="s">
        <v>98</v>
      </c>
      <c r="E2547" t="s">
        <v>5634</v>
      </c>
      <c r="F2547" t="str">
        <f>"00405275"</f>
        <v>00405275</v>
      </c>
      <c r="G2547" t="s">
        <v>724</v>
      </c>
      <c r="H2547" t="s">
        <v>20</v>
      </c>
      <c r="I2547">
        <v>1411</v>
      </c>
      <c r="J2547" t="s">
        <v>21</v>
      </c>
      <c r="K2547">
        <v>0</v>
      </c>
      <c r="L2547" t="s">
        <v>35</v>
      </c>
      <c r="M2547">
        <v>1183</v>
      </c>
    </row>
    <row r="2548" spans="1:13">
      <c r="A2548">
        <v>2542</v>
      </c>
      <c r="B2548">
        <v>61941</v>
      </c>
      <c r="C2548" t="s">
        <v>5635</v>
      </c>
      <c r="D2548" t="s">
        <v>80</v>
      </c>
      <c r="E2548" t="s">
        <v>5636</v>
      </c>
      <c r="F2548" t="str">
        <f>"00195235"</f>
        <v>00195235</v>
      </c>
      <c r="G2548" t="s">
        <v>47</v>
      </c>
      <c r="H2548" t="s">
        <v>48</v>
      </c>
      <c r="I2548">
        <v>1623</v>
      </c>
      <c r="J2548" t="s">
        <v>21</v>
      </c>
      <c r="K2548">
        <v>0</v>
      </c>
      <c r="L2548" t="s">
        <v>59</v>
      </c>
      <c r="M2548">
        <v>1038</v>
      </c>
    </row>
    <row r="2549" spans="1:13">
      <c r="A2549">
        <v>2543</v>
      </c>
      <c r="B2549">
        <v>84819</v>
      </c>
      <c r="C2549" t="s">
        <v>5637</v>
      </c>
      <c r="D2549" t="s">
        <v>76</v>
      </c>
      <c r="E2549" t="s">
        <v>5638</v>
      </c>
      <c r="F2549" t="str">
        <f>"00025622"</f>
        <v>00025622</v>
      </c>
      <c r="G2549" t="s">
        <v>465</v>
      </c>
      <c r="H2549" t="s">
        <v>20</v>
      </c>
      <c r="I2549">
        <v>1534</v>
      </c>
      <c r="J2549" t="s">
        <v>21</v>
      </c>
      <c r="K2549">
        <v>0</v>
      </c>
      <c r="M2549">
        <v>1325</v>
      </c>
    </row>
    <row r="2550" spans="1:13">
      <c r="A2550">
        <v>2544</v>
      </c>
      <c r="B2550">
        <v>109379</v>
      </c>
      <c r="C2550" t="s">
        <v>5639</v>
      </c>
      <c r="D2550" t="s">
        <v>76</v>
      </c>
      <c r="E2550" t="s">
        <v>5640</v>
      </c>
      <c r="F2550" t="str">
        <f>"00364705"</f>
        <v>00364705</v>
      </c>
      <c r="G2550" t="s">
        <v>190</v>
      </c>
      <c r="H2550" t="s">
        <v>191</v>
      </c>
      <c r="I2550">
        <v>1618</v>
      </c>
      <c r="J2550" t="s">
        <v>21</v>
      </c>
      <c r="K2550">
        <v>0</v>
      </c>
      <c r="L2550" t="s">
        <v>59</v>
      </c>
      <c r="M2550">
        <v>971</v>
      </c>
    </row>
    <row r="2551" spans="1:13">
      <c r="A2551">
        <v>2545</v>
      </c>
      <c r="B2551">
        <v>84105</v>
      </c>
      <c r="C2551" t="s">
        <v>5641</v>
      </c>
      <c r="D2551" t="s">
        <v>130</v>
      </c>
      <c r="E2551" t="s">
        <v>5642</v>
      </c>
      <c r="F2551" t="str">
        <f>"201406014205"</f>
        <v>201406014205</v>
      </c>
      <c r="G2551" t="s">
        <v>862</v>
      </c>
      <c r="H2551" t="s">
        <v>48</v>
      </c>
      <c r="I2551">
        <v>1619</v>
      </c>
      <c r="J2551" t="s">
        <v>21</v>
      </c>
      <c r="K2551">
        <v>0</v>
      </c>
      <c r="L2551" t="s">
        <v>83</v>
      </c>
      <c r="M2551">
        <v>1488</v>
      </c>
    </row>
    <row r="2552" spans="1:13">
      <c r="A2552">
        <v>2546</v>
      </c>
      <c r="B2552">
        <v>103508</v>
      </c>
      <c r="C2552" t="s">
        <v>5643</v>
      </c>
      <c r="D2552" t="s">
        <v>85</v>
      </c>
      <c r="E2552" t="s">
        <v>5644</v>
      </c>
      <c r="F2552" t="str">
        <f>"00380654"</f>
        <v>00380654</v>
      </c>
      <c r="G2552" t="s">
        <v>325</v>
      </c>
      <c r="H2552" t="s">
        <v>326</v>
      </c>
      <c r="I2552">
        <v>1592</v>
      </c>
      <c r="J2552" t="s">
        <v>21</v>
      </c>
      <c r="K2552">
        <v>0</v>
      </c>
      <c r="M2552">
        <v>1688</v>
      </c>
    </row>
    <row r="2553" spans="1:13">
      <c r="A2553">
        <v>2547</v>
      </c>
      <c r="B2553">
        <v>95847</v>
      </c>
      <c r="C2553" t="s">
        <v>5645</v>
      </c>
      <c r="D2553" t="s">
        <v>80</v>
      </c>
      <c r="E2553" t="s">
        <v>5646</v>
      </c>
      <c r="F2553" t="str">
        <f>"00329626"</f>
        <v>00329626</v>
      </c>
      <c r="G2553" t="s">
        <v>107</v>
      </c>
      <c r="H2553" t="s">
        <v>20</v>
      </c>
      <c r="I2553">
        <v>1472</v>
      </c>
      <c r="J2553" t="s">
        <v>21</v>
      </c>
      <c r="K2553">
        <v>0</v>
      </c>
      <c r="L2553" t="s">
        <v>83</v>
      </c>
      <c r="M2553">
        <v>1248</v>
      </c>
    </row>
    <row r="2554" spans="1:13">
      <c r="A2554">
        <v>2548</v>
      </c>
      <c r="B2554">
        <v>82635</v>
      </c>
      <c r="C2554" t="s">
        <v>5647</v>
      </c>
      <c r="D2554" t="s">
        <v>76</v>
      </c>
      <c r="E2554" t="s">
        <v>5648</v>
      </c>
      <c r="F2554" t="str">
        <f>"00383836"</f>
        <v>00383836</v>
      </c>
      <c r="G2554" t="s">
        <v>341</v>
      </c>
      <c r="H2554" t="s">
        <v>20</v>
      </c>
      <c r="I2554">
        <v>1553</v>
      </c>
      <c r="J2554" t="s">
        <v>21</v>
      </c>
      <c r="K2554">
        <v>6</v>
      </c>
      <c r="L2554" t="s">
        <v>35</v>
      </c>
      <c r="M2554">
        <v>836</v>
      </c>
    </row>
    <row r="2555" spans="1:13">
      <c r="A2555">
        <v>2549</v>
      </c>
      <c r="B2555">
        <v>73536</v>
      </c>
      <c r="C2555" t="s">
        <v>5649</v>
      </c>
      <c r="D2555" t="s">
        <v>98</v>
      </c>
      <c r="E2555" t="s">
        <v>5650</v>
      </c>
      <c r="F2555" t="str">
        <f>"00384005"</f>
        <v>00384005</v>
      </c>
      <c r="G2555" t="s">
        <v>2465</v>
      </c>
      <c r="H2555" t="s">
        <v>2469</v>
      </c>
      <c r="I2555">
        <v>1647</v>
      </c>
      <c r="J2555" t="s">
        <v>21</v>
      </c>
      <c r="K2555">
        <v>0</v>
      </c>
      <c r="L2555" t="s">
        <v>35</v>
      </c>
      <c r="M2555">
        <v>1175</v>
      </c>
    </row>
    <row r="2556" spans="1:13">
      <c r="A2556">
        <v>2550</v>
      </c>
      <c r="B2556">
        <v>53313</v>
      </c>
      <c r="C2556" t="s">
        <v>5651</v>
      </c>
      <c r="D2556" t="s">
        <v>145</v>
      </c>
      <c r="E2556" t="s">
        <v>5652</v>
      </c>
      <c r="F2556" t="str">
        <f>"00020765"</f>
        <v>00020765</v>
      </c>
      <c r="G2556" t="s">
        <v>955</v>
      </c>
      <c r="H2556" t="s">
        <v>48</v>
      </c>
      <c r="I2556">
        <v>1630</v>
      </c>
      <c r="J2556" t="s">
        <v>21</v>
      </c>
      <c r="K2556">
        <v>0</v>
      </c>
      <c r="M2556">
        <v>1288</v>
      </c>
    </row>
    <row r="2557" spans="1:13">
      <c r="A2557">
        <v>2551</v>
      </c>
      <c r="B2557">
        <v>57780</v>
      </c>
      <c r="C2557" t="s">
        <v>5653</v>
      </c>
      <c r="D2557" t="s">
        <v>243</v>
      </c>
      <c r="E2557" t="s">
        <v>5654</v>
      </c>
      <c r="F2557" t="str">
        <f>"201511009151"</f>
        <v>201511009151</v>
      </c>
      <c r="G2557" t="s">
        <v>1155</v>
      </c>
      <c r="H2557" t="s">
        <v>20</v>
      </c>
      <c r="I2557">
        <v>1480</v>
      </c>
      <c r="J2557" t="s">
        <v>21</v>
      </c>
      <c r="K2557">
        <v>0</v>
      </c>
      <c r="M2557">
        <v>1528</v>
      </c>
    </row>
    <row r="2558" spans="1:13">
      <c r="A2558">
        <v>2552</v>
      </c>
      <c r="B2558">
        <v>54856</v>
      </c>
      <c r="C2558" t="s">
        <v>5655</v>
      </c>
      <c r="D2558" t="s">
        <v>218</v>
      </c>
      <c r="E2558" t="s">
        <v>5656</v>
      </c>
      <c r="F2558" t="str">
        <f>"00355217"</f>
        <v>00355217</v>
      </c>
      <c r="G2558" t="s">
        <v>47</v>
      </c>
      <c r="H2558" t="s">
        <v>48</v>
      </c>
      <c r="I2558">
        <v>1623</v>
      </c>
      <c r="J2558" t="s">
        <v>21</v>
      </c>
      <c r="K2558">
        <v>0</v>
      </c>
      <c r="L2558" t="s">
        <v>35</v>
      </c>
      <c r="M2558">
        <v>886</v>
      </c>
    </row>
    <row r="2559" spans="1:13">
      <c r="A2559">
        <v>2553</v>
      </c>
      <c r="B2559">
        <v>90541</v>
      </c>
      <c r="C2559" t="s">
        <v>5657</v>
      </c>
      <c r="D2559" t="s">
        <v>130</v>
      </c>
      <c r="E2559" t="s">
        <v>5658</v>
      </c>
      <c r="F2559" t="str">
        <f>"00407754"</f>
        <v>00407754</v>
      </c>
      <c r="G2559" t="s">
        <v>358</v>
      </c>
      <c r="H2559" t="s">
        <v>20</v>
      </c>
      <c r="I2559">
        <v>1549</v>
      </c>
      <c r="J2559" t="s">
        <v>21</v>
      </c>
      <c r="K2559">
        <v>0</v>
      </c>
      <c r="M2559">
        <v>1652</v>
      </c>
    </row>
    <row r="2560" spans="1:13">
      <c r="A2560">
        <v>2554</v>
      </c>
      <c r="B2560">
        <v>83583</v>
      </c>
      <c r="C2560" t="s">
        <v>5659</v>
      </c>
      <c r="D2560" t="s">
        <v>209</v>
      </c>
      <c r="E2560" t="s">
        <v>5660</v>
      </c>
      <c r="F2560" t="str">
        <f>"00382721"</f>
        <v>00382721</v>
      </c>
      <c r="G2560" t="s">
        <v>307</v>
      </c>
      <c r="H2560" t="s">
        <v>308</v>
      </c>
      <c r="I2560">
        <v>1589</v>
      </c>
      <c r="J2560" t="s">
        <v>21</v>
      </c>
      <c r="K2560">
        <v>0</v>
      </c>
      <c r="M2560">
        <v>1328</v>
      </c>
    </row>
    <row r="2561" spans="1:13">
      <c r="A2561">
        <v>2555</v>
      </c>
      <c r="B2561">
        <v>79477</v>
      </c>
      <c r="C2561" t="s">
        <v>5661</v>
      </c>
      <c r="D2561" t="s">
        <v>905</v>
      </c>
      <c r="E2561" t="s">
        <v>5662</v>
      </c>
      <c r="F2561" t="str">
        <f>"201511014183"</f>
        <v>201511014183</v>
      </c>
      <c r="G2561" t="s">
        <v>610</v>
      </c>
      <c r="H2561" t="s">
        <v>20</v>
      </c>
      <c r="I2561">
        <v>1429</v>
      </c>
      <c r="J2561" t="s">
        <v>21</v>
      </c>
      <c r="K2561">
        <v>0</v>
      </c>
      <c r="M2561">
        <v>1528</v>
      </c>
    </row>
    <row r="2562" spans="1:13">
      <c r="A2562">
        <v>2556</v>
      </c>
      <c r="B2562">
        <v>99854</v>
      </c>
      <c r="C2562" t="s">
        <v>5663</v>
      </c>
      <c r="D2562" t="s">
        <v>76</v>
      </c>
      <c r="E2562" t="s">
        <v>5664</v>
      </c>
      <c r="F2562" t="str">
        <f>"00379135"</f>
        <v>00379135</v>
      </c>
      <c r="G2562" t="s">
        <v>87</v>
      </c>
      <c r="H2562" t="s">
        <v>20</v>
      </c>
      <c r="I2562">
        <v>1436</v>
      </c>
      <c r="J2562" t="s">
        <v>21</v>
      </c>
      <c r="K2562">
        <v>0</v>
      </c>
      <c r="M2562">
        <v>1373</v>
      </c>
    </row>
    <row r="2563" spans="1:13">
      <c r="A2563">
        <v>2557</v>
      </c>
      <c r="B2563">
        <v>53275</v>
      </c>
      <c r="C2563" t="s">
        <v>5665</v>
      </c>
      <c r="D2563" t="s">
        <v>3178</v>
      </c>
      <c r="E2563" t="s">
        <v>5666</v>
      </c>
      <c r="F2563" t="str">
        <f>"201405000246"</f>
        <v>201405000246</v>
      </c>
      <c r="G2563" t="s">
        <v>87</v>
      </c>
      <c r="H2563" t="s">
        <v>20</v>
      </c>
      <c r="I2563">
        <v>1436</v>
      </c>
      <c r="J2563" t="s">
        <v>21</v>
      </c>
      <c r="K2563">
        <v>0</v>
      </c>
      <c r="M2563">
        <v>1488</v>
      </c>
    </row>
    <row r="2564" spans="1:13">
      <c r="A2564">
        <v>2558</v>
      </c>
      <c r="B2564">
        <v>87701</v>
      </c>
      <c r="C2564" t="s">
        <v>5667</v>
      </c>
      <c r="D2564" t="s">
        <v>180</v>
      </c>
      <c r="E2564" t="s">
        <v>5668</v>
      </c>
      <c r="F2564" t="str">
        <f>"200904000121"</f>
        <v>200904000121</v>
      </c>
      <c r="G2564" t="s">
        <v>344</v>
      </c>
      <c r="H2564" t="s">
        <v>137</v>
      </c>
      <c r="I2564">
        <v>1614</v>
      </c>
      <c r="J2564" t="s">
        <v>21</v>
      </c>
      <c r="K2564">
        <v>0</v>
      </c>
      <c r="L2564" t="s">
        <v>35</v>
      </c>
      <c r="M2564">
        <v>908</v>
      </c>
    </row>
    <row r="2565" spans="1:13">
      <c r="A2565">
        <v>2559</v>
      </c>
      <c r="B2565">
        <v>68006</v>
      </c>
      <c r="C2565" t="s">
        <v>5669</v>
      </c>
      <c r="D2565" t="s">
        <v>80</v>
      </c>
      <c r="E2565" t="s">
        <v>5670</v>
      </c>
      <c r="F2565" t="str">
        <f>"201510002405"</f>
        <v>201510002405</v>
      </c>
      <c r="G2565" t="s">
        <v>211</v>
      </c>
      <c r="H2565" t="s">
        <v>48</v>
      </c>
      <c r="I2565">
        <v>1628</v>
      </c>
      <c r="J2565" t="s">
        <v>21</v>
      </c>
      <c r="K2565">
        <v>0</v>
      </c>
      <c r="L2565" t="s">
        <v>59</v>
      </c>
      <c r="M2565">
        <v>828</v>
      </c>
    </row>
    <row r="2566" spans="1:13">
      <c r="A2566">
        <v>2560</v>
      </c>
      <c r="B2566">
        <v>103737</v>
      </c>
      <c r="C2566" t="s">
        <v>5671</v>
      </c>
      <c r="D2566" t="s">
        <v>243</v>
      </c>
      <c r="E2566" t="s">
        <v>5672</v>
      </c>
      <c r="F2566" t="str">
        <f>"00251608"</f>
        <v>00251608</v>
      </c>
      <c r="G2566" t="s">
        <v>87</v>
      </c>
      <c r="H2566" t="s">
        <v>1671</v>
      </c>
      <c r="I2566">
        <v>1716</v>
      </c>
      <c r="J2566" t="s">
        <v>21</v>
      </c>
      <c r="K2566">
        <v>0</v>
      </c>
      <c r="L2566" t="s">
        <v>35</v>
      </c>
      <c r="M2566">
        <v>1058</v>
      </c>
    </row>
    <row r="2567" spans="1:13">
      <c r="A2567">
        <v>2561</v>
      </c>
      <c r="B2567">
        <v>100775</v>
      </c>
      <c r="C2567" t="s">
        <v>5673</v>
      </c>
      <c r="D2567" t="s">
        <v>557</v>
      </c>
      <c r="E2567" t="s">
        <v>5674</v>
      </c>
      <c r="F2567" t="str">
        <f>"00369650"</f>
        <v>00369650</v>
      </c>
      <c r="G2567" t="s">
        <v>1842</v>
      </c>
      <c r="H2567" t="s">
        <v>1843</v>
      </c>
      <c r="I2567">
        <v>1356</v>
      </c>
      <c r="J2567" t="s">
        <v>21</v>
      </c>
      <c r="K2567">
        <v>0</v>
      </c>
      <c r="M2567">
        <v>1538</v>
      </c>
    </row>
    <row r="2568" spans="1:13">
      <c r="A2568">
        <v>2562</v>
      </c>
      <c r="B2568">
        <v>72744</v>
      </c>
      <c r="C2568" t="s">
        <v>5675</v>
      </c>
      <c r="D2568" t="s">
        <v>109</v>
      </c>
      <c r="E2568" t="s">
        <v>5676</v>
      </c>
      <c r="F2568" t="str">
        <f>"00384031"</f>
        <v>00384031</v>
      </c>
      <c r="G2568" t="s">
        <v>4459</v>
      </c>
      <c r="H2568" t="s">
        <v>20</v>
      </c>
      <c r="I2568">
        <v>1455</v>
      </c>
      <c r="J2568" t="s">
        <v>21</v>
      </c>
      <c r="K2568">
        <v>6</v>
      </c>
      <c r="M2568">
        <v>1888</v>
      </c>
    </row>
    <row r="2569" spans="1:13">
      <c r="A2569">
        <v>2563</v>
      </c>
      <c r="B2569">
        <v>102630</v>
      </c>
      <c r="C2569" t="s">
        <v>5677</v>
      </c>
      <c r="D2569" t="s">
        <v>90</v>
      </c>
      <c r="E2569" t="s">
        <v>5678</v>
      </c>
      <c r="F2569" t="str">
        <f>"00369940"</f>
        <v>00369940</v>
      </c>
      <c r="G2569" t="s">
        <v>42</v>
      </c>
      <c r="H2569" t="s">
        <v>43</v>
      </c>
      <c r="I2569">
        <v>1712</v>
      </c>
      <c r="J2569" t="s">
        <v>21</v>
      </c>
      <c r="K2569">
        <v>0</v>
      </c>
      <c r="L2569" t="s">
        <v>35</v>
      </c>
      <c r="M2569">
        <v>1100</v>
      </c>
    </row>
    <row r="2570" spans="1:13">
      <c r="A2570">
        <v>2564</v>
      </c>
      <c r="B2570">
        <v>101275</v>
      </c>
      <c r="C2570" t="s">
        <v>5679</v>
      </c>
      <c r="D2570" t="s">
        <v>218</v>
      </c>
      <c r="E2570" t="s">
        <v>5680</v>
      </c>
      <c r="F2570" t="str">
        <f>"201401002566"</f>
        <v>201401002566</v>
      </c>
      <c r="G2570" t="s">
        <v>1245</v>
      </c>
      <c r="H2570" t="s">
        <v>20</v>
      </c>
      <c r="I2570">
        <v>1527</v>
      </c>
      <c r="J2570" t="s">
        <v>21</v>
      </c>
      <c r="K2570">
        <v>0</v>
      </c>
      <c r="L2570" t="s">
        <v>83</v>
      </c>
      <c r="M2570">
        <v>1168</v>
      </c>
    </row>
    <row r="2571" spans="1:13">
      <c r="A2571">
        <v>2565</v>
      </c>
      <c r="B2571">
        <v>52256</v>
      </c>
      <c r="C2571" t="s">
        <v>5681</v>
      </c>
      <c r="D2571" t="s">
        <v>94</v>
      </c>
      <c r="E2571" t="s">
        <v>5682</v>
      </c>
      <c r="F2571" t="str">
        <f>"00332430"</f>
        <v>00332430</v>
      </c>
      <c r="G2571" t="s">
        <v>107</v>
      </c>
      <c r="H2571" t="s">
        <v>20</v>
      </c>
      <c r="I2571">
        <v>1472</v>
      </c>
      <c r="J2571" t="s">
        <v>21</v>
      </c>
      <c r="K2571">
        <v>0</v>
      </c>
      <c r="L2571" t="s">
        <v>35</v>
      </c>
      <c r="M2571">
        <v>1300</v>
      </c>
    </row>
    <row r="2572" spans="1:13">
      <c r="A2572">
        <v>2566</v>
      </c>
      <c r="B2572">
        <v>50454</v>
      </c>
      <c r="C2572" t="s">
        <v>5681</v>
      </c>
      <c r="D2572" t="s">
        <v>80</v>
      </c>
      <c r="E2572" t="s">
        <v>5683</v>
      </c>
      <c r="F2572" t="str">
        <f>"201411002545"</f>
        <v>201411002545</v>
      </c>
      <c r="G2572" t="s">
        <v>19</v>
      </c>
      <c r="H2572" t="s">
        <v>20</v>
      </c>
      <c r="I2572">
        <v>1531</v>
      </c>
      <c r="J2572" t="s">
        <v>21</v>
      </c>
      <c r="K2572">
        <v>0</v>
      </c>
      <c r="M2572">
        <v>1428</v>
      </c>
    </row>
    <row r="2573" spans="1:13">
      <c r="A2573">
        <v>2567</v>
      </c>
      <c r="B2573">
        <v>91690</v>
      </c>
      <c r="C2573" t="s">
        <v>5684</v>
      </c>
      <c r="D2573" t="s">
        <v>566</v>
      </c>
      <c r="E2573" t="s">
        <v>5685</v>
      </c>
      <c r="F2573" t="str">
        <f>"00216632"</f>
        <v>00216632</v>
      </c>
      <c r="G2573" t="s">
        <v>365</v>
      </c>
      <c r="H2573" t="s">
        <v>366</v>
      </c>
      <c r="I2573">
        <v>1692</v>
      </c>
      <c r="J2573" t="s">
        <v>21</v>
      </c>
      <c r="K2573">
        <v>0</v>
      </c>
      <c r="L2573" t="s">
        <v>112</v>
      </c>
      <c r="M2573">
        <v>900</v>
      </c>
    </row>
    <row r="2574" spans="1:13">
      <c r="A2574">
        <v>2568</v>
      </c>
      <c r="B2574">
        <v>106941</v>
      </c>
      <c r="C2574" t="s">
        <v>5686</v>
      </c>
      <c r="D2574" t="s">
        <v>243</v>
      </c>
      <c r="E2574" t="s">
        <v>5687</v>
      </c>
      <c r="F2574" t="str">
        <f>"00387170"</f>
        <v>00387170</v>
      </c>
      <c r="G2574" t="s">
        <v>125</v>
      </c>
      <c r="H2574" t="s">
        <v>20</v>
      </c>
      <c r="I2574">
        <v>1507</v>
      </c>
      <c r="J2574" t="s">
        <v>21</v>
      </c>
      <c r="K2574">
        <v>0</v>
      </c>
      <c r="L2574" t="s">
        <v>35</v>
      </c>
      <c r="M2574">
        <v>1000</v>
      </c>
    </row>
    <row r="2575" spans="1:13">
      <c r="A2575">
        <v>2569</v>
      </c>
      <c r="B2575">
        <v>69683</v>
      </c>
      <c r="C2575" t="s">
        <v>5688</v>
      </c>
      <c r="D2575" t="s">
        <v>80</v>
      </c>
      <c r="E2575" t="s">
        <v>5689</v>
      </c>
      <c r="F2575" t="str">
        <f>"00390185"</f>
        <v>00390185</v>
      </c>
      <c r="G2575" t="s">
        <v>147</v>
      </c>
      <c r="H2575" t="s">
        <v>20</v>
      </c>
      <c r="I2575">
        <v>1529</v>
      </c>
      <c r="J2575" t="s">
        <v>21</v>
      </c>
      <c r="K2575">
        <v>0</v>
      </c>
      <c r="M2575">
        <v>1788</v>
      </c>
    </row>
    <row r="2576" spans="1:13">
      <c r="A2576">
        <v>2570</v>
      </c>
      <c r="B2576">
        <v>116141</v>
      </c>
      <c r="C2576" t="s">
        <v>5690</v>
      </c>
      <c r="D2576" t="s">
        <v>121</v>
      </c>
      <c r="E2576" t="s">
        <v>5691</v>
      </c>
      <c r="F2576" t="str">
        <f>"00420933"</f>
        <v>00420933</v>
      </c>
      <c r="G2576" t="s">
        <v>2305</v>
      </c>
      <c r="H2576" t="s">
        <v>2306</v>
      </c>
      <c r="I2576">
        <v>1369</v>
      </c>
      <c r="J2576" t="s">
        <v>21</v>
      </c>
      <c r="K2576">
        <v>0</v>
      </c>
      <c r="L2576" t="s">
        <v>35</v>
      </c>
      <c r="M2576">
        <v>1190</v>
      </c>
    </row>
    <row r="2577" spans="1:13">
      <c r="A2577">
        <v>2571</v>
      </c>
      <c r="B2577">
        <v>111886</v>
      </c>
      <c r="C2577" t="s">
        <v>5692</v>
      </c>
      <c r="D2577" t="s">
        <v>145</v>
      </c>
      <c r="E2577" t="s">
        <v>5693</v>
      </c>
      <c r="F2577" t="str">
        <f>"00419085"</f>
        <v>00419085</v>
      </c>
      <c r="G2577" t="s">
        <v>147</v>
      </c>
      <c r="H2577" t="s">
        <v>20</v>
      </c>
      <c r="I2577">
        <v>1529</v>
      </c>
      <c r="J2577" t="s">
        <v>21</v>
      </c>
      <c r="K2577">
        <v>0</v>
      </c>
      <c r="L2577" t="s">
        <v>35</v>
      </c>
      <c r="M2577">
        <v>908</v>
      </c>
    </row>
    <row r="2578" spans="1:13">
      <c r="A2578">
        <v>2572</v>
      </c>
      <c r="B2578">
        <v>114601</v>
      </c>
      <c r="C2578" t="s">
        <v>5694</v>
      </c>
      <c r="D2578" t="s">
        <v>2446</v>
      </c>
      <c r="E2578" t="s">
        <v>5695</v>
      </c>
      <c r="F2578" t="str">
        <f>"00252118"</f>
        <v>00252118</v>
      </c>
      <c r="G2578" t="s">
        <v>196</v>
      </c>
      <c r="H2578" t="s">
        <v>20</v>
      </c>
      <c r="I2578">
        <v>1512</v>
      </c>
      <c r="J2578" t="s">
        <v>21</v>
      </c>
      <c r="K2578">
        <v>6</v>
      </c>
      <c r="M2578">
        <v>1751</v>
      </c>
    </row>
    <row r="2579" spans="1:13">
      <c r="A2579">
        <v>2573</v>
      </c>
      <c r="B2579">
        <v>97653</v>
      </c>
      <c r="C2579" t="s">
        <v>5696</v>
      </c>
      <c r="D2579" t="s">
        <v>76</v>
      </c>
      <c r="E2579" t="s">
        <v>5697</v>
      </c>
      <c r="F2579" t="str">
        <f>"00257907"</f>
        <v>00257907</v>
      </c>
      <c r="G2579" t="s">
        <v>2142</v>
      </c>
      <c r="H2579" t="s">
        <v>20</v>
      </c>
      <c r="I2579">
        <v>1423</v>
      </c>
      <c r="J2579" t="s">
        <v>21</v>
      </c>
      <c r="K2579">
        <v>0</v>
      </c>
      <c r="M2579">
        <v>1528</v>
      </c>
    </row>
    <row r="2580" spans="1:13">
      <c r="A2580">
        <v>2574</v>
      </c>
      <c r="B2580">
        <v>46382</v>
      </c>
      <c r="C2580" t="s">
        <v>5698</v>
      </c>
      <c r="D2580" t="s">
        <v>153</v>
      </c>
      <c r="E2580" t="s">
        <v>5699</v>
      </c>
      <c r="F2580" t="str">
        <f>"201511018619"</f>
        <v>201511018619</v>
      </c>
      <c r="G2580" t="s">
        <v>47</v>
      </c>
      <c r="H2580" t="s">
        <v>48</v>
      </c>
      <c r="I2580">
        <v>1623</v>
      </c>
      <c r="J2580" t="s">
        <v>21</v>
      </c>
      <c r="K2580">
        <v>0</v>
      </c>
      <c r="L2580" t="s">
        <v>35</v>
      </c>
      <c r="M2580">
        <v>875</v>
      </c>
    </row>
    <row r="2581" spans="1:13">
      <c r="A2581">
        <v>2575</v>
      </c>
      <c r="B2581">
        <v>72324</v>
      </c>
      <c r="C2581" t="s">
        <v>5700</v>
      </c>
      <c r="D2581" t="s">
        <v>153</v>
      </c>
      <c r="E2581" t="s">
        <v>5701</v>
      </c>
      <c r="F2581" t="str">
        <f>"00187131"</f>
        <v>00187131</v>
      </c>
      <c r="G2581" t="s">
        <v>294</v>
      </c>
      <c r="H2581" t="s">
        <v>20</v>
      </c>
      <c r="I2581">
        <v>1421</v>
      </c>
      <c r="J2581" t="s">
        <v>21</v>
      </c>
      <c r="K2581">
        <v>0</v>
      </c>
      <c r="M2581">
        <v>1574</v>
      </c>
    </row>
    <row r="2582" spans="1:13">
      <c r="A2582">
        <v>2576</v>
      </c>
      <c r="B2582">
        <v>56129</v>
      </c>
      <c r="C2582" t="s">
        <v>5702</v>
      </c>
      <c r="D2582" t="s">
        <v>80</v>
      </c>
      <c r="E2582" t="s">
        <v>5703</v>
      </c>
      <c r="F2582" t="str">
        <f>"00342352"</f>
        <v>00342352</v>
      </c>
      <c r="G2582" t="s">
        <v>200</v>
      </c>
      <c r="H2582" t="s">
        <v>20</v>
      </c>
      <c r="I2582">
        <v>1492</v>
      </c>
      <c r="J2582" t="s">
        <v>21</v>
      </c>
      <c r="K2582">
        <v>0</v>
      </c>
      <c r="M2582">
        <v>1788</v>
      </c>
    </row>
    <row r="2583" spans="1:13">
      <c r="A2583">
        <v>2577</v>
      </c>
      <c r="B2583">
        <v>115243</v>
      </c>
      <c r="C2583" t="s">
        <v>5704</v>
      </c>
      <c r="D2583" t="s">
        <v>105</v>
      </c>
      <c r="E2583" t="s">
        <v>5705</v>
      </c>
      <c r="F2583" t="str">
        <f>"00372935"</f>
        <v>00372935</v>
      </c>
      <c r="G2583" t="s">
        <v>150</v>
      </c>
      <c r="H2583" t="s">
        <v>151</v>
      </c>
      <c r="I2583">
        <v>1699</v>
      </c>
      <c r="J2583" t="s">
        <v>21</v>
      </c>
      <c r="K2583">
        <v>0</v>
      </c>
      <c r="M2583">
        <v>1318</v>
      </c>
    </row>
    <row r="2584" spans="1:13">
      <c r="A2584">
        <v>2578</v>
      </c>
      <c r="B2584">
        <v>66048</v>
      </c>
      <c r="C2584" t="s">
        <v>5706</v>
      </c>
      <c r="D2584" t="s">
        <v>5707</v>
      </c>
      <c r="E2584">
        <v>663360</v>
      </c>
      <c r="F2584" t="str">
        <f>"00363412"</f>
        <v>00363412</v>
      </c>
      <c r="G2584" t="s">
        <v>1764</v>
      </c>
      <c r="H2584" t="s">
        <v>20</v>
      </c>
      <c r="I2584">
        <v>1532</v>
      </c>
      <c r="J2584" t="s">
        <v>21</v>
      </c>
      <c r="K2584">
        <v>0</v>
      </c>
      <c r="M2584">
        <v>1388</v>
      </c>
    </row>
    <row r="2585" spans="1:13">
      <c r="A2585">
        <v>2579</v>
      </c>
      <c r="B2585">
        <v>76465</v>
      </c>
      <c r="C2585" t="s">
        <v>5708</v>
      </c>
      <c r="D2585" t="s">
        <v>218</v>
      </c>
      <c r="E2585" t="s">
        <v>5709</v>
      </c>
      <c r="F2585" t="str">
        <f>"00409571"</f>
        <v>00409571</v>
      </c>
      <c r="G2585" t="s">
        <v>150</v>
      </c>
      <c r="H2585" t="s">
        <v>151</v>
      </c>
      <c r="I2585">
        <v>1699</v>
      </c>
      <c r="J2585" t="s">
        <v>21</v>
      </c>
      <c r="K2585">
        <v>0</v>
      </c>
      <c r="M2585">
        <v>1393</v>
      </c>
    </row>
    <row r="2586" spans="1:13">
      <c r="A2586">
        <v>2580</v>
      </c>
      <c r="B2586">
        <v>82080</v>
      </c>
      <c r="C2586" t="s">
        <v>5710</v>
      </c>
      <c r="D2586" t="s">
        <v>243</v>
      </c>
      <c r="E2586" t="s">
        <v>5711</v>
      </c>
      <c r="F2586" t="str">
        <f>"00381154"</f>
        <v>00381154</v>
      </c>
      <c r="G2586" t="s">
        <v>47</v>
      </c>
      <c r="H2586" t="s">
        <v>48</v>
      </c>
      <c r="I2586">
        <v>1623</v>
      </c>
      <c r="J2586" t="s">
        <v>21</v>
      </c>
      <c r="K2586">
        <v>0</v>
      </c>
      <c r="L2586" t="s">
        <v>88</v>
      </c>
      <c r="M2586">
        <v>500</v>
      </c>
    </row>
    <row r="2587" spans="1:13">
      <c r="A2587">
        <v>2581</v>
      </c>
      <c r="B2587">
        <v>50844</v>
      </c>
      <c r="C2587" t="s">
        <v>5712</v>
      </c>
      <c r="D2587" t="s">
        <v>121</v>
      </c>
      <c r="E2587" t="s">
        <v>5713</v>
      </c>
      <c r="F2587" t="str">
        <f>"00354926"</f>
        <v>00354926</v>
      </c>
      <c r="G2587" t="s">
        <v>1830</v>
      </c>
      <c r="H2587" t="s">
        <v>137</v>
      </c>
      <c r="I2587">
        <v>1609</v>
      </c>
      <c r="J2587" t="s">
        <v>21</v>
      </c>
      <c r="K2587">
        <v>0</v>
      </c>
      <c r="M2587">
        <v>1363</v>
      </c>
    </row>
    <row r="2588" spans="1:13">
      <c r="A2588">
        <v>2582</v>
      </c>
      <c r="B2588">
        <v>85178</v>
      </c>
      <c r="C2588" t="s">
        <v>5714</v>
      </c>
      <c r="D2588" t="s">
        <v>76</v>
      </c>
      <c r="E2588" t="s">
        <v>5715</v>
      </c>
      <c r="F2588" t="str">
        <f>"00370688"</f>
        <v>00370688</v>
      </c>
      <c r="G2588" t="s">
        <v>883</v>
      </c>
      <c r="H2588" t="s">
        <v>270</v>
      </c>
      <c r="I2588">
        <v>1585</v>
      </c>
      <c r="J2588" t="s">
        <v>21</v>
      </c>
      <c r="K2588">
        <v>0</v>
      </c>
      <c r="M2588">
        <v>1818</v>
      </c>
    </row>
    <row r="2589" spans="1:13">
      <c r="A2589">
        <v>2583</v>
      </c>
      <c r="B2589">
        <v>83830</v>
      </c>
      <c r="C2589" t="s">
        <v>5716</v>
      </c>
      <c r="D2589" t="s">
        <v>198</v>
      </c>
      <c r="E2589" t="s">
        <v>5717</v>
      </c>
      <c r="F2589" t="str">
        <f>"201507002003"</f>
        <v>201507002003</v>
      </c>
      <c r="G2589" t="s">
        <v>1074</v>
      </c>
      <c r="H2589" t="s">
        <v>48</v>
      </c>
      <c r="I2589">
        <v>1627</v>
      </c>
      <c r="J2589" t="s">
        <v>21</v>
      </c>
      <c r="K2589">
        <v>6</v>
      </c>
      <c r="L2589" t="s">
        <v>35</v>
      </c>
      <c r="M2589">
        <v>672</v>
      </c>
    </row>
    <row r="2590" spans="1:13">
      <c r="A2590">
        <v>2584</v>
      </c>
      <c r="B2590">
        <v>113561</v>
      </c>
      <c r="C2590" t="s">
        <v>5718</v>
      </c>
      <c r="D2590" t="s">
        <v>198</v>
      </c>
      <c r="E2590" t="s">
        <v>5719</v>
      </c>
      <c r="F2590" t="str">
        <f>"00357684"</f>
        <v>00357684</v>
      </c>
      <c r="G2590" t="s">
        <v>5720</v>
      </c>
      <c r="H2590" t="s">
        <v>241</v>
      </c>
      <c r="I2590">
        <v>1361</v>
      </c>
      <c r="J2590" t="s">
        <v>21</v>
      </c>
      <c r="K2590">
        <v>7</v>
      </c>
      <c r="M2590">
        <v>1388</v>
      </c>
    </row>
    <row r="2591" spans="1:13">
      <c r="A2591">
        <v>2585</v>
      </c>
      <c r="B2591">
        <v>47120</v>
      </c>
      <c r="C2591" t="s">
        <v>5721</v>
      </c>
      <c r="D2591" t="s">
        <v>249</v>
      </c>
      <c r="E2591" t="s">
        <v>5722</v>
      </c>
      <c r="F2591" t="str">
        <f>"00264890"</f>
        <v>00264890</v>
      </c>
      <c r="G2591" t="s">
        <v>38</v>
      </c>
      <c r="H2591" t="s">
        <v>39</v>
      </c>
      <c r="I2591">
        <v>1634</v>
      </c>
      <c r="J2591" t="s">
        <v>21</v>
      </c>
      <c r="K2591">
        <v>6</v>
      </c>
      <c r="L2591" t="s">
        <v>35</v>
      </c>
      <c r="M2591">
        <v>608</v>
      </c>
    </row>
    <row r="2592" spans="1:13">
      <c r="A2592">
        <v>2586</v>
      </c>
      <c r="B2592">
        <v>110758</v>
      </c>
      <c r="C2592" t="s">
        <v>5723</v>
      </c>
      <c r="D2592" t="s">
        <v>180</v>
      </c>
      <c r="E2592" t="s">
        <v>5724</v>
      </c>
      <c r="F2592" t="str">
        <f>"00421672"</f>
        <v>00421672</v>
      </c>
      <c r="G2592" t="s">
        <v>1345</v>
      </c>
      <c r="H2592" t="s">
        <v>137</v>
      </c>
      <c r="I2592">
        <v>1606</v>
      </c>
      <c r="J2592" t="s">
        <v>21</v>
      </c>
      <c r="K2592">
        <v>0</v>
      </c>
      <c r="M2592">
        <v>1728</v>
      </c>
    </row>
    <row r="2593" spans="1:13">
      <c r="A2593">
        <v>2587</v>
      </c>
      <c r="B2593">
        <v>65671</v>
      </c>
      <c r="C2593" t="s">
        <v>5725</v>
      </c>
      <c r="D2593" t="s">
        <v>180</v>
      </c>
      <c r="E2593" t="s">
        <v>5726</v>
      </c>
      <c r="F2593" t="str">
        <f>"00359148"</f>
        <v>00359148</v>
      </c>
      <c r="G2593" t="s">
        <v>502</v>
      </c>
      <c r="H2593" t="s">
        <v>503</v>
      </c>
      <c r="I2593">
        <v>1359</v>
      </c>
      <c r="J2593" t="s">
        <v>21</v>
      </c>
      <c r="K2593">
        <v>0</v>
      </c>
      <c r="L2593" t="s">
        <v>35</v>
      </c>
      <c r="M2593">
        <v>1108</v>
      </c>
    </row>
    <row r="2594" spans="1:13">
      <c r="A2594">
        <v>2588</v>
      </c>
      <c r="B2594">
        <v>65333</v>
      </c>
      <c r="C2594" t="s">
        <v>5727</v>
      </c>
      <c r="D2594" t="s">
        <v>90</v>
      </c>
      <c r="E2594" t="s">
        <v>5728</v>
      </c>
      <c r="F2594" t="str">
        <f>"201406010311"</f>
        <v>201406010311</v>
      </c>
      <c r="G2594" t="s">
        <v>29</v>
      </c>
      <c r="H2594" t="s">
        <v>20</v>
      </c>
      <c r="I2594">
        <v>1446</v>
      </c>
      <c r="J2594" t="s">
        <v>21</v>
      </c>
      <c r="K2594">
        <v>0</v>
      </c>
      <c r="M2594">
        <v>1388</v>
      </c>
    </row>
    <row r="2595" spans="1:13">
      <c r="A2595">
        <v>2589</v>
      </c>
      <c r="B2595">
        <v>62136</v>
      </c>
      <c r="C2595" t="s">
        <v>5729</v>
      </c>
      <c r="D2595" t="s">
        <v>105</v>
      </c>
      <c r="E2595" t="s">
        <v>5730</v>
      </c>
      <c r="F2595" t="str">
        <f>"201510001755"</f>
        <v>201510001755</v>
      </c>
      <c r="G2595" t="s">
        <v>1764</v>
      </c>
      <c r="H2595" t="s">
        <v>20</v>
      </c>
      <c r="I2595">
        <v>1532</v>
      </c>
      <c r="J2595" t="s">
        <v>21</v>
      </c>
      <c r="K2595">
        <v>0</v>
      </c>
      <c r="L2595" t="s">
        <v>35</v>
      </c>
      <c r="M2595">
        <v>908</v>
      </c>
    </row>
    <row r="2596" spans="1:13">
      <c r="A2596">
        <v>2590</v>
      </c>
      <c r="B2596">
        <v>54010</v>
      </c>
      <c r="C2596" t="s">
        <v>5731</v>
      </c>
      <c r="D2596" t="s">
        <v>205</v>
      </c>
      <c r="E2596" t="s">
        <v>5732</v>
      </c>
      <c r="F2596" t="str">
        <f>"00367297"</f>
        <v>00367297</v>
      </c>
      <c r="G2596" t="s">
        <v>42</v>
      </c>
      <c r="H2596" t="s">
        <v>43</v>
      </c>
      <c r="I2596">
        <v>1712</v>
      </c>
      <c r="J2596" t="s">
        <v>21</v>
      </c>
      <c r="K2596">
        <v>0</v>
      </c>
      <c r="L2596" t="s">
        <v>35</v>
      </c>
      <c r="M2596">
        <v>1047</v>
      </c>
    </row>
    <row r="2597" spans="1:13">
      <c r="A2597">
        <v>2591</v>
      </c>
      <c r="B2597">
        <v>83683</v>
      </c>
      <c r="C2597" t="s">
        <v>5733</v>
      </c>
      <c r="D2597" t="s">
        <v>334</v>
      </c>
      <c r="E2597" t="s">
        <v>5734</v>
      </c>
      <c r="F2597" t="str">
        <f>"00377503"</f>
        <v>00377503</v>
      </c>
      <c r="G2597" t="s">
        <v>1869</v>
      </c>
      <c r="H2597" t="s">
        <v>20</v>
      </c>
      <c r="I2597">
        <v>1473</v>
      </c>
      <c r="J2597" t="s">
        <v>21</v>
      </c>
      <c r="K2597">
        <v>0</v>
      </c>
      <c r="M2597">
        <v>1411</v>
      </c>
    </row>
    <row r="2598" spans="1:13">
      <c r="A2598">
        <v>2592</v>
      </c>
      <c r="B2598">
        <v>65780</v>
      </c>
      <c r="C2598" t="s">
        <v>5735</v>
      </c>
      <c r="D2598" t="s">
        <v>180</v>
      </c>
      <c r="E2598" t="s">
        <v>5736</v>
      </c>
      <c r="F2598" t="str">
        <f>"201512000224"</f>
        <v>201512000224</v>
      </c>
      <c r="G2598" t="s">
        <v>150</v>
      </c>
      <c r="H2598" t="s">
        <v>151</v>
      </c>
      <c r="I2598">
        <v>1699</v>
      </c>
      <c r="J2598" t="s">
        <v>21</v>
      </c>
      <c r="K2598">
        <v>0</v>
      </c>
      <c r="L2598" t="s">
        <v>35</v>
      </c>
      <c r="M2598">
        <v>850</v>
      </c>
    </row>
    <row r="2599" spans="1:13">
      <c r="A2599">
        <v>2593</v>
      </c>
      <c r="B2599">
        <v>47566</v>
      </c>
      <c r="C2599" t="s">
        <v>5737</v>
      </c>
      <c r="D2599" t="s">
        <v>198</v>
      </c>
      <c r="E2599" t="s">
        <v>5738</v>
      </c>
      <c r="F2599" t="str">
        <f>"00181410"</f>
        <v>00181410</v>
      </c>
      <c r="G2599" t="s">
        <v>150</v>
      </c>
      <c r="H2599" t="s">
        <v>151</v>
      </c>
      <c r="I2599">
        <v>1699</v>
      </c>
      <c r="J2599" t="s">
        <v>21</v>
      </c>
      <c r="K2599">
        <v>0</v>
      </c>
      <c r="M2599">
        <v>1338</v>
      </c>
    </row>
    <row r="2600" spans="1:13">
      <c r="A2600">
        <v>2594</v>
      </c>
      <c r="B2600">
        <v>105011</v>
      </c>
      <c r="C2600" t="s">
        <v>5739</v>
      </c>
      <c r="D2600" t="s">
        <v>76</v>
      </c>
      <c r="E2600" t="s">
        <v>5740</v>
      </c>
      <c r="F2600" t="str">
        <f>"00232018"</f>
        <v>00232018</v>
      </c>
      <c r="G2600" t="s">
        <v>713</v>
      </c>
      <c r="H2600" t="s">
        <v>366</v>
      </c>
      <c r="I2600">
        <v>1690</v>
      </c>
      <c r="J2600" t="s">
        <v>21</v>
      </c>
      <c r="K2600">
        <v>0</v>
      </c>
      <c r="L2600" t="s">
        <v>88</v>
      </c>
      <c r="M2600">
        <v>550</v>
      </c>
    </row>
    <row r="2601" spans="1:13">
      <c r="A2601">
        <v>2595</v>
      </c>
      <c r="B2601">
        <v>64827</v>
      </c>
      <c r="C2601" t="s">
        <v>5741</v>
      </c>
      <c r="D2601" t="s">
        <v>76</v>
      </c>
      <c r="E2601" t="s">
        <v>5742</v>
      </c>
      <c r="F2601" t="str">
        <f>"00354277"</f>
        <v>00354277</v>
      </c>
      <c r="G2601" t="s">
        <v>211</v>
      </c>
      <c r="H2601" t="s">
        <v>48</v>
      </c>
      <c r="I2601">
        <v>1628</v>
      </c>
      <c r="J2601" t="s">
        <v>21</v>
      </c>
      <c r="K2601">
        <v>0</v>
      </c>
      <c r="M2601">
        <v>1376</v>
      </c>
    </row>
    <row r="2602" spans="1:13">
      <c r="A2602">
        <v>2596</v>
      </c>
      <c r="B2602">
        <v>89890</v>
      </c>
      <c r="C2602" t="s">
        <v>5743</v>
      </c>
      <c r="D2602" t="s">
        <v>121</v>
      </c>
      <c r="E2602" t="s">
        <v>5744</v>
      </c>
      <c r="F2602" t="str">
        <f>"00404123"</f>
        <v>00404123</v>
      </c>
      <c r="G2602" t="s">
        <v>70</v>
      </c>
      <c r="H2602" t="s">
        <v>1377</v>
      </c>
      <c r="I2602">
        <v>1703</v>
      </c>
      <c r="J2602" t="s">
        <v>21</v>
      </c>
      <c r="K2602">
        <v>0</v>
      </c>
      <c r="M2602">
        <v>1395</v>
      </c>
    </row>
    <row r="2603" spans="1:13">
      <c r="A2603">
        <v>2597</v>
      </c>
      <c r="B2603">
        <v>98662</v>
      </c>
      <c r="C2603" t="s">
        <v>5745</v>
      </c>
      <c r="D2603" t="s">
        <v>1140</v>
      </c>
      <c r="E2603" t="s">
        <v>5746</v>
      </c>
      <c r="F2603" t="str">
        <f>"00386179"</f>
        <v>00386179</v>
      </c>
      <c r="G2603" t="s">
        <v>2228</v>
      </c>
      <c r="H2603" t="s">
        <v>20</v>
      </c>
      <c r="I2603">
        <v>1469</v>
      </c>
      <c r="J2603" t="s">
        <v>21</v>
      </c>
      <c r="K2603">
        <v>0</v>
      </c>
      <c r="L2603" t="s">
        <v>35</v>
      </c>
      <c r="M2603">
        <v>1181</v>
      </c>
    </row>
    <row r="2604" spans="1:13">
      <c r="A2604">
        <v>2598</v>
      </c>
      <c r="B2604">
        <v>99897</v>
      </c>
      <c r="C2604" t="s">
        <v>5747</v>
      </c>
      <c r="D2604" t="s">
        <v>121</v>
      </c>
      <c r="E2604" t="s">
        <v>5748</v>
      </c>
      <c r="F2604" t="str">
        <f>"00384494"</f>
        <v>00384494</v>
      </c>
      <c r="G2604" t="s">
        <v>465</v>
      </c>
      <c r="H2604" t="s">
        <v>20</v>
      </c>
      <c r="I2604">
        <v>1534</v>
      </c>
      <c r="J2604" t="s">
        <v>21</v>
      </c>
      <c r="K2604">
        <v>0</v>
      </c>
      <c r="L2604" t="s">
        <v>35</v>
      </c>
      <c r="M2604">
        <v>849</v>
      </c>
    </row>
    <row r="2605" spans="1:13">
      <c r="A2605">
        <v>2599</v>
      </c>
      <c r="B2605">
        <v>53949</v>
      </c>
      <c r="C2605" t="s">
        <v>5749</v>
      </c>
      <c r="D2605" t="s">
        <v>180</v>
      </c>
      <c r="E2605" t="s">
        <v>5750</v>
      </c>
      <c r="F2605" t="str">
        <f>"00263928"</f>
        <v>00263928</v>
      </c>
      <c r="G2605" t="s">
        <v>107</v>
      </c>
      <c r="H2605" t="s">
        <v>20</v>
      </c>
      <c r="I2605">
        <v>1472</v>
      </c>
      <c r="J2605" t="s">
        <v>21</v>
      </c>
      <c r="K2605">
        <v>0</v>
      </c>
      <c r="M2605">
        <v>1478</v>
      </c>
    </row>
    <row r="2606" spans="1:13">
      <c r="A2606">
        <v>2600</v>
      </c>
      <c r="B2606">
        <v>81147</v>
      </c>
      <c r="C2606" t="s">
        <v>5751</v>
      </c>
      <c r="D2606" t="s">
        <v>76</v>
      </c>
      <c r="E2606" t="s">
        <v>5752</v>
      </c>
      <c r="F2606" t="str">
        <f>"00149123"</f>
        <v>00149123</v>
      </c>
      <c r="G2606" t="s">
        <v>269</v>
      </c>
      <c r="H2606" t="s">
        <v>270</v>
      </c>
      <c r="I2606">
        <v>1587</v>
      </c>
      <c r="J2606" t="s">
        <v>21</v>
      </c>
      <c r="K2606">
        <v>0</v>
      </c>
      <c r="L2606" t="s">
        <v>35</v>
      </c>
      <c r="M2606">
        <v>1100</v>
      </c>
    </row>
    <row r="2607" spans="1:13">
      <c r="A2607">
        <v>2601</v>
      </c>
      <c r="B2607">
        <v>109033</v>
      </c>
      <c r="C2607" t="s">
        <v>5753</v>
      </c>
      <c r="D2607" t="s">
        <v>563</v>
      </c>
      <c r="E2607" t="s">
        <v>5754</v>
      </c>
      <c r="F2607" t="str">
        <f>"00308786"</f>
        <v>00308786</v>
      </c>
      <c r="G2607" t="s">
        <v>147</v>
      </c>
      <c r="H2607" t="s">
        <v>20</v>
      </c>
      <c r="I2607">
        <v>1529</v>
      </c>
      <c r="J2607" t="s">
        <v>21</v>
      </c>
      <c r="K2607">
        <v>0</v>
      </c>
      <c r="M2607">
        <v>1400</v>
      </c>
    </row>
    <row r="2608" spans="1:13">
      <c r="A2608">
        <v>2602</v>
      </c>
      <c r="B2608">
        <v>76214</v>
      </c>
      <c r="C2608" t="s">
        <v>5755</v>
      </c>
      <c r="D2608" t="s">
        <v>76</v>
      </c>
      <c r="E2608" t="s">
        <v>5756</v>
      </c>
      <c r="F2608" t="str">
        <f>"00401896"</f>
        <v>00401896</v>
      </c>
      <c r="G2608" t="s">
        <v>600</v>
      </c>
      <c r="H2608" t="s">
        <v>366</v>
      </c>
      <c r="I2608">
        <v>1694</v>
      </c>
      <c r="J2608" t="s">
        <v>21</v>
      </c>
      <c r="K2608">
        <v>0</v>
      </c>
      <c r="L2608" t="s">
        <v>35</v>
      </c>
      <c r="M2608">
        <v>850</v>
      </c>
    </row>
    <row r="2609" spans="1:13">
      <c r="A2609">
        <v>2603</v>
      </c>
      <c r="B2609">
        <v>89913</v>
      </c>
      <c r="C2609" t="s">
        <v>5757</v>
      </c>
      <c r="D2609" t="s">
        <v>109</v>
      </c>
      <c r="E2609" t="s">
        <v>5758</v>
      </c>
      <c r="F2609" t="str">
        <f>"00397156"</f>
        <v>00397156</v>
      </c>
      <c r="G2609" t="s">
        <v>107</v>
      </c>
      <c r="H2609" t="s">
        <v>20</v>
      </c>
      <c r="I2609">
        <v>1472</v>
      </c>
      <c r="J2609" t="s">
        <v>21</v>
      </c>
      <c r="K2609">
        <v>0</v>
      </c>
      <c r="L2609" t="s">
        <v>35</v>
      </c>
      <c r="M2609">
        <v>1208</v>
      </c>
    </row>
    <row r="2610" spans="1:13">
      <c r="A2610">
        <v>2604</v>
      </c>
      <c r="B2610">
        <v>107752</v>
      </c>
      <c r="C2610" t="s">
        <v>5759</v>
      </c>
      <c r="D2610" t="s">
        <v>76</v>
      </c>
      <c r="E2610" t="s">
        <v>5760</v>
      </c>
      <c r="F2610" t="str">
        <f>"00417013"</f>
        <v>00417013</v>
      </c>
      <c r="G2610" t="s">
        <v>258</v>
      </c>
      <c r="H2610" t="s">
        <v>20</v>
      </c>
      <c r="I2610">
        <v>1484</v>
      </c>
      <c r="J2610" t="s">
        <v>21</v>
      </c>
      <c r="K2610">
        <v>0</v>
      </c>
      <c r="M2610">
        <v>1288</v>
      </c>
    </row>
    <row r="2611" spans="1:13">
      <c r="A2611">
        <v>2605</v>
      </c>
      <c r="B2611">
        <v>90883</v>
      </c>
      <c r="C2611" t="s">
        <v>5761</v>
      </c>
      <c r="D2611" t="s">
        <v>109</v>
      </c>
      <c r="E2611" t="s">
        <v>5762</v>
      </c>
      <c r="F2611" t="str">
        <f>"00410583"</f>
        <v>00410583</v>
      </c>
      <c r="G2611" t="s">
        <v>856</v>
      </c>
      <c r="H2611" t="s">
        <v>366</v>
      </c>
      <c r="I2611">
        <v>1706</v>
      </c>
      <c r="J2611" t="s">
        <v>21</v>
      </c>
      <c r="K2611">
        <v>0</v>
      </c>
      <c r="M2611">
        <v>1358</v>
      </c>
    </row>
    <row r="2612" spans="1:13">
      <c r="A2612">
        <v>2606</v>
      </c>
      <c r="B2612">
        <v>112790</v>
      </c>
      <c r="C2612" t="s">
        <v>5763</v>
      </c>
      <c r="D2612" t="s">
        <v>391</v>
      </c>
      <c r="E2612" t="s">
        <v>5764</v>
      </c>
      <c r="F2612" t="str">
        <f>"00091843"</f>
        <v>00091843</v>
      </c>
      <c r="G2612" t="s">
        <v>561</v>
      </c>
      <c r="H2612" t="s">
        <v>20</v>
      </c>
      <c r="I2612">
        <v>1574</v>
      </c>
      <c r="J2612" t="s">
        <v>21</v>
      </c>
      <c r="K2612">
        <v>0</v>
      </c>
      <c r="M2612">
        <v>1328</v>
      </c>
    </row>
    <row r="2613" spans="1:13">
      <c r="A2613">
        <v>2607</v>
      </c>
      <c r="B2613">
        <v>62834</v>
      </c>
      <c r="C2613" t="s">
        <v>5765</v>
      </c>
      <c r="D2613" t="s">
        <v>145</v>
      </c>
      <c r="E2613" t="s">
        <v>5766</v>
      </c>
      <c r="F2613" t="str">
        <f>"201511015451"</f>
        <v>201511015451</v>
      </c>
      <c r="G2613" t="s">
        <v>87</v>
      </c>
      <c r="H2613" t="s">
        <v>20</v>
      </c>
      <c r="I2613">
        <v>1436</v>
      </c>
      <c r="J2613" t="s">
        <v>21</v>
      </c>
      <c r="K2613">
        <v>0</v>
      </c>
      <c r="L2613" t="s">
        <v>35</v>
      </c>
      <c r="M2613">
        <v>858</v>
      </c>
    </row>
    <row r="2614" spans="1:13">
      <c r="A2614">
        <v>2608</v>
      </c>
      <c r="B2614">
        <v>62457</v>
      </c>
      <c r="C2614" t="s">
        <v>5767</v>
      </c>
      <c r="D2614" t="s">
        <v>373</v>
      </c>
      <c r="E2614" t="s">
        <v>5768</v>
      </c>
      <c r="F2614" t="str">
        <f>"00238013"</f>
        <v>00238013</v>
      </c>
      <c r="G2614" t="s">
        <v>531</v>
      </c>
      <c r="H2614" t="s">
        <v>20</v>
      </c>
      <c r="I2614">
        <v>1445</v>
      </c>
      <c r="J2614" t="s">
        <v>21</v>
      </c>
      <c r="K2614">
        <v>0</v>
      </c>
      <c r="L2614" t="s">
        <v>35</v>
      </c>
      <c r="M2614">
        <v>1185</v>
      </c>
    </row>
    <row r="2615" spans="1:13">
      <c r="A2615">
        <v>2609</v>
      </c>
      <c r="B2615">
        <v>99292</v>
      </c>
      <c r="C2615" t="s">
        <v>5769</v>
      </c>
      <c r="D2615" t="s">
        <v>180</v>
      </c>
      <c r="E2615" t="s">
        <v>5770</v>
      </c>
      <c r="F2615" t="str">
        <f>"00074799"</f>
        <v>00074799</v>
      </c>
      <c r="G2615" t="s">
        <v>531</v>
      </c>
      <c r="H2615" t="s">
        <v>20</v>
      </c>
      <c r="I2615">
        <v>1445</v>
      </c>
      <c r="J2615" t="s">
        <v>21</v>
      </c>
      <c r="K2615">
        <v>0</v>
      </c>
      <c r="L2615" t="s">
        <v>35</v>
      </c>
      <c r="M2615">
        <v>1106</v>
      </c>
    </row>
    <row r="2616" spans="1:13">
      <c r="A2616">
        <v>2610</v>
      </c>
      <c r="B2616">
        <v>68206</v>
      </c>
      <c r="C2616" t="s">
        <v>5771</v>
      </c>
      <c r="D2616" t="s">
        <v>76</v>
      </c>
      <c r="E2616" t="s">
        <v>5772</v>
      </c>
      <c r="F2616" t="str">
        <f>"00389889"</f>
        <v>00389889</v>
      </c>
      <c r="G2616" t="s">
        <v>428</v>
      </c>
      <c r="H2616" t="s">
        <v>20</v>
      </c>
      <c r="I2616">
        <v>1556</v>
      </c>
      <c r="J2616" t="s">
        <v>21</v>
      </c>
      <c r="K2616">
        <v>6</v>
      </c>
      <c r="L2616" t="s">
        <v>35</v>
      </c>
      <c r="M2616">
        <v>1000</v>
      </c>
    </row>
    <row r="2617" spans="1:13">
      <c r="A2617">
        <v>2611</v>
      </c>
      <c r="B2617">
        <v>111205</v>
      </c>
      <c r="C2617" t="s">
        <v>5773</v>
      </c>
      <c r="D2617" t="s">
        <v>121</v>
      </c>
      <c r="E2617" t="s">
        <v>5774</v>
      </c>
      <c r="F2617" t="str">
        <f>"00286419"</f>
        <v>00286419</v>
      </c>
      <c r="G2617" t="s">
        <v>713</v>
      </c>
      <c r="H2617" t="s">
        <v>366</v>
      </c>
      <c r="I2617">
        <v>1690</v>
      </c>
      <c r="J2617" t="s">
        <v>21</v>
      </c>
      <c r="K2617">
        <v>0</v>
      </c>
      <c r="L2617" t="s">
        <v>88</v>
      </c>
      <c r="M2617">
        <v>900</v>
      </c>
    </row>
    <row r="2618" spans="1:13">
      <c r="A2618">
        <v>2612</v>
      </c>
      <c r="B2618">
        <v>69669</v>
      </c>
      <c r="C2618" t="s">
        <v>5775</v>
      </c>
      <c r="D2618" t="s">
        <v>76</v>
      </c>
      <c r="E2618" t="s">
        <v>5776</v>
      </c>
      <c r="F2618" t="str">
        <f>"00265622"</f>
        <v>00265622</v>
      </c>
      <c r="G2618" t="s">
        <v>974</v>
      </c>
      <c r="H2618" t="s">
        <v>20</v>
      </c>
      <c r="I2618">
        <v>1449</v>
      </c>
      <c r="J2618" t="s">
        <v>21</v>
      </c>
      <c r="K2618">
        <v>6</v>
      </c>
      <c r="L2618" t="s">
        <v>59</v>
      </c>
      <c r="M2618">
        <v>818</v>
      </c>
    </row>
    <row r="2619" spans="1:13">
      <c r="A2619">
        <v>2613</v>
      </c>
      <c r="B2619">
        <v>69887</v>
      </c>
      <c r="C2619" t="s">
        <v>5777</v>
      </c>
      <c r="D2619" t="s">
        <v>102</v>
      </c>
      <c r="E2619" t="s">
        <v>5778</v>
      </c>
      <c r="F2619" t="str">
        <f>"00396978"</f>
        <v>00396978</v>
      </c>
      <c r="G2619" t="s">
        <v>67</v>
      </c>
      <c r="H2619" t="s">
        <v>20</v>
      </c>
      <c r="I2619">
        <v>1434</v>
      </c>
      <c r="J2619" t="s">
        <v>21</v>
      </c>
      <c r="K2619">
        <v>0</v>
      </c>
      <c r="L2619" t="s">
        <v>35</v>
      </c>
      <c r="M2619">
        <v>886</v>
      </c>
    </row>
    <row r="2620" spans="1:13">
      <c r="A2620">
        <v>2614</v>
      </c>
      <c r="B2620">
        <v>84795</v>
      </c>
      <c r="C2620" t="s">
        <v>5779</v>
      </c>
      <c r="D2620" t="s">
        <v>76</v>
      </c>
      <c r="E2620" t="s">
        <v>5780</v>
      </c>
      <c r="F2620" t="str">
        <f>"00388687"</f>
        <v>00388687</v>
      </c>
      <c r="G2620" t="s">
        <v>38</v>
      </c>
      <c r="H2620" t="s">
        <v>39</v>
      </c>
      <c r="I2620">
        <v>1634</v>
      </c>
      <c r="J2620" t="s">
        <v>21</v>
      </c>
      <c r="K2620">
        <v>6</v>
      </c>
      <c r="M2620">
        <v>1128</v>
      </c>
    </row>
    <row r="2621" spans="1:13">
      <c r="A2621">
        <v>2615</v>
      </c>
      <c r="B2621">
        <v>48658</v>
      </c>
      <c r="C2621" t="s">
        <v>5781</v>
      </c>
      <c r="D2621" t="s">
        <v>566</v>
      </c>
      <c r="E2621" t="s">
        <v>5782</v>
      </c>
      <c r="F2621" t="str">
        <f>"00247493"</f>
        <v>00247493</v>
      </c>
      <c r="G2621" t="s">
        <v>3425</v>
      </c>
      <c r="H2621" t="s">
        <v>20</v>
      </c>
      <c r="I2621">
        <v>1453</v>
      </c>
      <c r="J2621" t="s">
        <v>21</v>
      </c>
      <c r="K2621">
        <v>0</v>
      </c>
      <c r="L2621" t="s">
        <v>35</v>
      </c>
      <c r="M2621">
        <v>908</v>
      </c>
    </row>
    <row r="2622" spans="1:13">
      <c r="A2622">
        <v>2616</v>
      </c>
      <c r="B2622">
        <v>76315</v>
      </c>
      <c r="C2622" t="s">
        <v>5783</v>
      </c>
      <c r="D2622" t="s">
        <v>65</v>
      </c>
      <c r="E2622" t="s">
        <v>5784</v>
      </c>
      <c r="F2622" t="str">
        <f>"00354829"</f>
        <v>00354829</v>
      </c>
      <c r="G2622" t="s">
        <v>107</v>
      </c>
      <c r="H2622" t="s">
        <v>20</v>
      </c>
      <c r="I2622">
        <v>1472</v>
      </c>
      <c r="J2622" t="s">
        <v>21</v>
      </c>
      <c r="K2622">
        <v>0</v>
      </c>
      <c r="L2622" t="s">
        <v>88</v>
      </c>
      <c r="M2622">
        <v>638</v>
      </c>
    </row>
    <row r="2623" spans="1:13">
      <c r="A2623">
        <v>2617</v>
      </c>
      <c r="B2623">
        <v>115023</v>
      </c>
      <c r="C2623" t="s">
        <v>5785</v>
      </c>
      <c r="D2623" t="s">
        <v>102</v>
      </c>
      <c r="E2623" t="s">
        <v>5786</v>
      </c>
      <c r="F2623" t="str">
        <f>"00369646"</f>
        <v>00369646</v>
      </c>
      <c r="G2623" t="s">
        <v>395</v>
      </c>
      <c r="H2623" t="s">
        <v>234</v>
      </c>
      <c r="I2623">
        <v>1336</v>
      </c>
      <c r="J2623" t="s">
        <v>21</v>
      </c>
      <c r="K2623">
        <v>0</v>
      </c>
      <c r="M2623">
        <v>1398</v>
      </c>
    </row>
    <row r="2624" spans="1:13">
      <c r="A2624">
        <v>2618</v>
      </c>
      <c r="B2624">
        <v>62507</v>
      </c>
      <c r="C2624" t="s">
        <v>5787</v>
      </c>
      <c r="D2624" t="s">
        <v>914</v>
      </c>
      <c r="E2624" t="s">
        <v>5788</v>
      </c>
      <c r="F2624" t="str">
        <f>"00357723"</f>
        <v>00357723</v>
      </c>
      <c r="G2624" t="s">
        <v>196</v>
      </c>
      <c r="H2624" t="s">
        <v>20</v>
      </c>
      <c r="I2624">
        <v>1512</v>
      </c>
      <c r="J2624" t="s">
        <v>21</v>
      </c>
      <c r="K2624">
        <v>6</v>
      </c>
      <c r="M2624">
        <v>1458</v>
      </c>
    </row>
    <row r="2625" spans="1:13">
      <c r="A2625">
        <v>2619</v>
      </c>
      <c r="B2625">
        <v>103898</v>
      </c>
      <c r="C2625" t="s">
        <v>5789</v>
      </c>
      <c r="D2625" t="s">
        <v>76</v>
      </c>
      <c r="E2625" t="s">
        <v>5790</v>
      </c>
      <c r="F2625" t="str">
        <f>"00386667"</f>
        <v>00386667</v>
      </c>
      <c r="G2625" t="s">
        <v>5791</v>
      </c>
      <c r="H2625" t="s">
        <v>20</v>
      </c>
      <c r="I2625">
        <v>1500</v>
      </c>
      <c r="J2625" t="s">
        <v>21</v>
      </c>
      <c r="K2625">
        <v>7</v>
      </c>
      <c r="L2625" t="s">
        <v>35</v>
      </c>
      <c r="M2625">
        <v>1108</v>
      </c>
    </row>
    <row r="2626" spans="1:13">
      <c r="A2626">
        <v>2620</v>
      </c>
      <c r="B2626">
        <v>108927</v>
      </c>
      <c r="C2626" t="s">
        <v>5792</v>
      </c>
      <c r="D2626" t="s">
        <v>109</v>
      </c>
      <c r="E2626" t="s">
        <v>5793</v>
      </c>
      <c r="F2626" t="str">
        <f>"00396551"</f>
        <v>00396551</v>
      </c>
      <c r="G2626" t="s">
        <v>96</v>
      </c>
      <c r="H2626" t="s">
        <v>20</v>
      </c>
      <c r="I2626">
        <v>1474</v>
      </c>
      <c r="J2626" t="s">
        <v>21</v>
      </c>
      <c r="K2626">
        <v>0</v>
      </c>
      <c r="M2626">
        <v>1928</v>
      </c>
    </row>
    <row r="2627" spans="1:13">
      <c r="A2627">
        <v>2621</v>
      </c>
      <c r="B2627">
        <v>64823</v>
      </c>
      <c r="C2627" t="s">
        <v>5794</v>
      </c>
      <c r="D2627" t="s">
        <v>80</v>
      </c>
      <c r="E2627" t="s">
        <v>5795</v>
      </c>
      <c r="F2627" t="str">
        <f>"201511015670"</f>
        <v>201511015670</v>
      </c>
      <c r="G2627" t="s">
        <v>125</v>
      </c>
      <c r="H2627" t="s">
        <v>20</v>
      </c>
      <c r="I2627">
        <v>1507</v>
      </c>
      <c r="J2627" t="s">
        <v>21</v>
      </c>
      <c r="K2627">
        <v>0</v>
      </c>
      <c r="M2627">
        <v>1518</v>
      </c>
    </row>
    <row r="2628" spans="1:13">
      <c r="A2628">
        <v>2622</v>
      </c>
      <c r="B2628">
        <v>76295</v>
      </c>
      <c r="C2628" t="s">
        <v>5796</v>
      </c>
      <c r="D2628" t="s">
        <v>153</v>
      </c>
      <c r="E2628" t="s">
        <v>5797</v>
      </c>
      <c r="F2628" t="str">
        <f>"00401596"</f>
        <v>00401596</v>
      </c>
      <c r="G2628" t="s">
        <v>1005</v>
      </c>
      <c r="H2628" t="s">
        <v>20</v>
      </c>
      <c r="I2628">
        <v>1580</v>
      </c>
      <c r="J2628" t="s">
        <v>21</v>
      </c>
      <c r="K2628">
        <v>6</v>
      </c>
      <c r="L2628" t="s">
        <v>83</v>
      </c>
      <c r="M2628">
        <v>1128</v>
      </c>
    </row>
    <row r="2629" spans="1:13">
      <c r="A2629">
        <v>2623</v>
      </c>
      <c r="B2629">
        <v>60581</v>
      </c>
      <c r="C2629" t="s">
        <v>5798</v>
      </c>
      <c r="D2629" t="s">
        <v>726</v>
      </c>
      <c r="E2629" t="s">
        <v>5799</v>
      </c>
      <c r="F2629" t="str">
        <f>"00294603"</f>
        <v>00294603</v>
      </c>
      <c r="G2629" t="s">
        <v>38</v>
      </c>
      <c r="H2629" t="s">
        <v>39</v>
      </c>
      <c r="I2629">
        <v>1634</v>
      </c>
      <c r="J2629" t="s">
        <v>21</v>
      </c>
      <c r="K2629">
        <v>6</v>
      </c>
      <c r="M2629">
        <v>1328</v>
      </c>
    </row>
    <row r="2630" spans="1:13">
      <c r="A2630">
        <v>2624</v>
      </c>
      <c r="B2630">
        <v>49600</v>
      </c>
      <c r="C2630" t="s">
        <v>5800</v>
      </c>
      <c r="D2630" t="s">
        <v>213</v>
      </c>
      <c r="E2630" t="s">
        <v>5801</v>
      </c>
      <c r="F2630" t="str">
        <f>"00292207"</f>
        <v>00292207</v>
      </c>
      <c r="G2630" t="s">
        <v>258</v>
      </c>
      <c r="H2630" t="s">
        <v>20</v>
      </c>
      <c r="I2630">
        <v>1484</v>
      </c>
      <c r="J2630" t="s">
        <v>21</v>
      </c>
      <c r="K2630">
        <v>0</v>
      </c>
      <c r="M2630">
        <v>1288</v>
      </c>
    </row>
    <row r="2631" spans="1:13">
      <c r="A2631">
        <v>2625</v>
      </c>
      <c r="B2631">
        <v>78837</v>
      </c>
      <c r="C2631" t="s">
        <v>5802</v>
      </c>
      <c r="D2631" t="s">
        <v>90</v>
      </c>
      <c r="E2631" t="s">
        <v>5803</v>
      </c>
      <c r="F2631" t="str">
        <f>"00385597"</f>
        <v>00385597</v>
      </c>
      <c r="G2631" t="s">
        <v>5804</v>
      </c>
      <c r="H2631" t="s">
        <v>2356</v>
      </c>
      <c r="I2631">
        <v>1653</v>
      </c>
      <c r="J2631" t="s">
        <v>21</v>
      </c>
      <c r="K2631">
        <v>0</v>
      </c>
      <c r="M2631">
        <v>1733</v>
      </c>
    </row>
    <row r="2632" spans="1:13">
      <c r="A2632">
        <v>2626</v>
      </c>
      <c r="B2632">
        <v>80900</v>
      </c>
      <c r="C2632" t="s">
        <v>5805</v>
      </c>
      <c r="D2632" t="s">
        <v>566</v>
      </c>
      <c r="E2632" t="s">
        <v>5806</v>
      </c>
      <c r="F2632" t="str">
        <f>"00291001"</f>
        <v>00291001</v>
      </c>
      <c r="G2632" t="s">
        <v>111</v>
      </c>
      <c r="H2632" t="s">
        <v>48</v>
      </c>
      <c r="I2632">
        <v>1620</v>
      </c>
      <c r="J2632" t="s">
        <v>21</v>
      </c>
      <c r="K2632">
        <v>0</v>
      </c>
      <c r="M2632">
        <v>1388</v>
      </c>
    </row>
    <row r="2633" spans="1:13">
      <c r="A2633">
        <v>2627</v>
      </c>
      <c r="B2633">
        <v>56846</v>
      </c>
      <c r="C2633" t="s">
        <v>5807</v>
      </c>
      <c r="D2633" t="s">
        <v>566</v>
      </c>
      <c r="E2633" t="s">
        <v>5808</v>
      </c>
      <c r="F2633" t="str">
        <f>"201101000280"</f>
        <v>201101000280</v>
      </c>
      <c r="G2633" t="s">
        <v>971</v>
      </c>
      <c r="H2633" t="s">
        <v>48</v>
      </c>
      <c r="I2633">
        <v>1624</v>
      </c>
      <c r="J2633" t="s">
        <v>21</v>
      </c>
      <c r="K2633">
        <v>0</v>
      </c>
      <c r="L2633" t="s">
        <v>35</v>
      </c>
      <c r="M2633">
        <v>902</v>
      </c>
    </row>
    <row r="2634" spans="1:13">
      <c r="A2634">
        <v>2628</v>
      </c>
      <c r="B2634">
        <v>55708</v>
      </c>
      <c r="C2634" t="s">
        <v>5809</v>
      </c>
      <c r="D2634" t="s">
        <v>655</v>
      </c>
      <c r="E2634" t="s">
        <v>5810</v>
      </c>
      <c r="F2634" t="str">
        <f>"00147536"</f>
        <v>00147536</v>
      </c>
      <c r="G2634" t="s">
        <v>47</v>
      </c>
      <c r="H2634" t="s">
        <v>48</v>
      </c>
      <c r="I2634">
        <v>1623</v>
      </c>
      <c r="J2634" t="s">
        <v>21</v>
      </c>
      <c r="K2634">
        <v>0</v>
      </c>
      <c r="L2634" t="s">
        <v>88</v>
      </c>
      <c r="M2634">
        <v>725</v>
      </c>
    </row>
    <row r="2635" spans="1:13">
      <c r="A2635">
        <v>2629</v>
      </c>
      <c r="B2635">
        <v>113241</v>
      </c>
      <c r="C2635" t="s">
        <v>5811</v>
      </c>
      <c r="D2635" t="s">
        <v>76</v>
      </c>
      <c r="E2635" t="s">
        <v>5812</v>
      </c>
      <c r="F2635" t="str">
        <f>"00407591"</f>
        <v>00407591</v>
      </c>
      <c r="G2635" t="s">
        <v>1995</v>
      </c>
      <c r="H2635" t="s">
        <v>20</v>
      </c>
      <c r="I2635">
        <v>1508</v>
      </c>
      <c r="J2635" t="s">
        <v>21</v>
      </c>
      <c r="K2635">
        <v>0</v>
      </c>
      <c r="M2635">
        <v>1388</v>
      </c>
    </row>
    <row r="2636" spans="1:13">
      <c r="A2636">
        <v>2630</v>
      </c>
      <c r="B2636">
        <v>113222</v>
      </c>
      <c r="C2636" t="s">
        <v>5813</v>
      </c>
      <c r="D2636" t="s">
        <v>76</v>
      </c>
      <c r="E2636" t="s">
        <v>5814</v>
      </c>
      <c r="F2636" t="str">
        <f>"00389231"</f>
        <v>00389231</v>
      </c>
      <c r="G2636" t="s">
        <v>2768</v>
      </c>
      <c r="H2636" t="s">
        <v>20</v>
      </c>
      <c r="I2636">
        <v>1409</v>
      </c>
      <c r="J2636" t="s">
        <v>21</v>
      </c>
      <c r="K2636">
        <v>0</v>
      </c>
      <c r="M2636">
        <v>1428</v>
      </c>
    </row>
    <row r="2637" spans="1:13">
      <c r="A2637">
        <v>2631</v>
      </c>
      <c r="B2637">
        <v>73991</v>
      </c>
      <c r="C2637" t="s">
        <v>5815</v>
      </c>
      <c r="D2637" t="s">
        <v>90</v>
      </c>
      <c r="E2637" t="s">
        <v>5816</v>
      </c>
      <c r="F2637" t="str">
        <f>"00190290"</f>
        <v>00190290</v>
      </c>
      <c r="G2637" t="s">
        <v>87</v>
      </c>
      <c r="H2637" t="s">
        <v>20</v>
      </c>
      <c r="I2637">
        <v>1436</v>
      </c>
      <c r="J2637" t="s">
        <v>21</v>
      </c>
      <c r="K2637">
        <v>0</v>
      </c>
      <c r="M2637">
        <v>1328</v>
      </c>
    </row>
    <row r="2638" spans="1:13">
      <c r="A2638">
        <v>2632</v>
      </c>
      <c r="B2638">
        <v>94413</v>
      </c>
      <c r="C2638" t="s">
        <v>5817</v>
      </c>
      <c r="D2638" t="s">
        <v>5818</v>
      </c>
      <c r="E2638" t="s">
        <v>5819</v>
      </c>
      <c r="F2638" t="str">
        <f>"00281366"</f>
        <v>00281366</v>
      </c>
      <c r="G2638" t="s">
        <v>606</v>
      </c>
      <c r="H2638" t="s">
        <v>607</v>
      </c>
      <c r="I2638">
        <v>1343</v>
      </c>
      <c r="J2638" t="s">
        <v>21</v>
      </c>
      <c r="K2638">
        <v>0</v>
      </c>
      <c r="L2638" t="s">
        <v>35</v>
      </c>
      <c r="M2638">
        <v>1100</v>
      </c>
    </row>
    <row r="2639" spans="1:13">
      <c r="A2639">
        <v>2633</v>
      </c>
      <c r="B2639">
        <v>116188</v>
      </c>
      <c r="C2639" t="s">
        <v>5820</v>
      </c>
      <c r="D2639" t="s">
        <v>180</v>
      </c>
      <c r="E2639" t="s">
        <v>5821</v>
      </c>
      <c r="F2639" t="str">
        <f>"00282621"</f>
        <v>00282621</v>
      </c>
      <c r="G2639" t="s">
        <v>47</v>
      </c>
      <c r="H2639" t="s">
        <v>48</v>
      </c>
      <c r="I2639">
        <v>1623</v>
      </c>
      <c r="J2639" t="s">
        <v>21</v>
      </c>
      <c r="K2639">
        <v>0</v>
      </c>
      <c r="L2639" t="s">
        <v>83</v>
      </c>
      <c r="M2639">
        <v>1288</v>
      </c>
    </row>
    <row r="2640" spans="1:13">
      <c r="A2640">
        <v>2634</v>
      </c>
      <c r="B2640">
        <v>87762</v>
      </c>
      <c r="C2640" t="s">
        <v>5822</v>
      </c>
      <c r="D2640" t="s">
        <v>80</v>
      </c>
      <c r="E2640" t="s">
        <v>5823</v>
      </c>
      <c r="F2640" t="str">
        <f>"00400779"</f>
        <v>00400779</v>
      </c>
      <c r="G2640" t="s">
        <v>329</v>
      </c>
      <c r="H2640" t="s">
        <v>20</v>
      </c>
      <c r="I2640">
        <v>1509</v>
      </c>
      <c r="J2640" t="s">
        <v>21</v>
      </c>
      <c r="K2640">
        <v>0</v>
      </c>
      <c r="L2640" t="s">
        <v>35</v>
      </c>
      <c r="M2640">
        <v>1100</v>
      </c>
    </row>
    <row r="2641" spans="1:13">
      <c r="A2641">
        <v>2635</v>
      </c>
      <c r="B2641">
        <v>92233</v>
      </c>
      <c r="C2641" t="s">
        <v>5824</v>
      </c>
      <c r="D2641" t="s">
        <v>102</v>
      </c>
      <c r="E2641" t="s">
        <v>5825</v>
      </c>
      <c r="F2641" t="str">
        <f>"201511024187"</f>
        <v>201511024187</v>
      </c>
      <c r="G2641" t="s">
        <v>70</v>
      </c>
      <c r="H2641" t="s">
        <v>71</v>
      </c>
      <c r="I2641">
        <v>1702</v>
      </c>
      <c r="J2641" t="s">
        <v>21</v>
      </c>
      <c r="K2641">
        <v>0</v>
      </c>
      <c r="L2641" t="s">
        <v>35</v>
      </c>
      <c r="M2641">
        <v>908</v>
      </c>
    </row>
    <row r="2642" spans="1:13">
      <c r="A2642">
        <v>2636</v>
      </c>
      <c r="B2642">
        <v>49988</v>
      </c>
      <c r="C2642" t="s">
        <v>5826</v>
      </c>
      <c r="D2642" t="s">
        <v>121</v>
      </c>
      <c r="E2642" t="s">
        <v>5827</v>
      </c>
      <c r="F2642" t="str">
        <f>"00371717"</f>
        <v>00371717</v>
      </c>
      <c r="G2642" t="s">
        <v>19</v>
      </c>
      <c r="H2642" t="s">
        <v>20</v>
      </c>
      <c r="I2642">
        <v>1531</v>
      </c>
      <c r="J2642" t="s">
        <v>21</v>
      </c>
      <c r="K2642">
        <v>0</v>
      </c>
      <c r="L2642" t="s">
        <v>83</v>
      </c>
      <c r="M2642">
        <v>1268</v>
      </c>
    </row>
    <row r="2643" spans="1:13">
      <c r="A2643">
        <v>2637</v>
      </c>
      <c r="B2643">
        <v>88817</v>
      </c>
      <c r="C2643" t="s">
        <v>5828</v>
      </c>
      <c r="D2643" t="s">
        <v>205</v>
      </c>
      <c r="E2643" t="s">
        <v>5829</v>
      </c>
      <c r="F2643" t="str">
        <f>"00366482"</f>
        <v>00366482</v>
      </c>
      <c r="G2643" t="s">
        <v>610</v>
      </c>
      <c r="H2643" t="s">
        <v>20</v>
      </c>
      <c r="I2643">
        <v>1429</v>
      </c>
      <c r="J2643" t="s">
        <v>21</v>
      </c>
      <c r="K2643">
        <v>0</v>
      </c>
      <c r="L2643" t="s">
        <v>35</v>
      </c>
      <c r="M2643">
        <v>900</v>
      </c>
    </row>
    <row r="2644" spans="1:13">
      <c r="A2644">
        <v>2638</v>
      </c>
      <c r="B2644">
        <v>59002</v>
      </c>
      <c r="C2644" t="s">
        <v>5830</v>
      </c>
      <c r="D2644" t="s">
        <v>80</v>
      </c>
      <c r="E2644" t="s">
        <v>5831</v>
      </c>
      <c r="F2644" t="str">
        <f>"201512001605"</f>
        <v>201512001605</v>
      </c>
      <c r="G2644" t="s">
        <v>125</v>
      </c>
      <c r="H2644" t="s">
        <v>20</v>
      </c>
      <c r="I2644">
        <v>1507</v>
      </c>
      <c r="J2644" t="s">
        <v>21</v>
      </c>
      <c r="K2644">
        <v>0</v>
      </c>
      <c r="L2644" t="s">
        <v>59</v>
      </c>
      <c r="M2644">
        <v>988</v>
      </c>
    </row>
    <row r="2645" spans="1:13">
      <c r="A2645">
        <v>2639</v>
      </c>
      <c r="B2645">
        <v>90434</v>
      </c>
      <c r="C2645" t="s">
        <v>5832</v>
      </c>
      <c r="D2645" t="s">
        <v>3470</v>
      </c>
      <c r="E2645" t="s">
        <v>5833</v>
      </c>
      <c r="F2645" t="str">
        <f>"00389812"</f>
        <v>00389812</v>
      </c>
      <c r="G2645" t="s">
        <v>358</v>
      </c>
      <c r="H2645" t="s">
        <v>20</v>
      </c>
      <c r="I2645">
        <v>1549</v>
      </c>
      <c r="J2645" t="s">
        <v>21</v>
      </c>
      <c r="K2645">
        <v>0</v>
      </c>
      <c r="L2645" t="s">
        <v>83</v>
      </c>
      <c r="M2645">
        <v>1318</v>
      </c>
    </row>
    <row r="2646" spans="1:13">
      <c r="A2646">
        <v>2640</v>
      </c>
      <c r="B2646">
        <v>66219</v>
      </c>
      <c r="C2646" t="s">
        <v>5834</v>
      </c>
      <c r="D2646" t="s">
        <v>80</v>
      </c>
      <c r="E2646" t="s">
        <v>5835</v>
      </c>
      <c r="F2646" t="str">
        <f>"00374801"</f>
        <v>00374801</v>
      </c>
      <c r="G2646" t="s">
        <v>632</v>
      </c>
      <c r="H2646" t="s">
        <v>20</v>
      </c>
      <c r="I2646">
        <v>1461</v>
      </c>
      <c r="J2646" t="s">
        <v>21</v>
      </c>
      <c r="K2646">
        <v>0</v>
      </c>
      <c r="M2646">
        <v>1761</v>
      </c>
    </row>
    <row r="2647" spans="1:13">
      <c r="A2647">
        <v>2641</v>
      </c>
      <c r="B2647">
        <v>55364</v>
      </c>
      <c r="C2647" t="s">
        <v>5836</v>
      </c>
      <c r="D2647" t="s">
        <v>76</v>
      </c>
      <c r="E2647" t="s">
        <v>5837</v>
      </c>
      <c r="F2647" t="str">
        <f>"00301816"</f>
        <v>00301816</v>
      </c>
      <c r="G2647" t="s">
        <v>540</v>
      </c>
      <c r="H2647" t="s">
        <v>20</v>
      </c>
      <c r="I2647">
        <v>1435</v>
      </c>
      <c r="J2647" t="s">
        <v>21</v>
      </c>
      <c r="K2647">
        <v>0</v>
      </c>
      <c r="M2647">
        <v>1367</v>
      </c>
    </row>
    <row r="2648" spans="1:13">
      <c r="A2648">
        <v>2642</v>
      </c>
      <c r="B2648">
        <v>47130</v>
      </c>
      <c r="C2648" t="s">
        <v>5838</v>
      </c>
      <c r="D2648" t="s">
        <v>3268</v>
      </c>
      <c r="E2648" t="s">
        <v>5839</v>
      </c>
      <c r="F2648" t="str">
        <f>"00370195"</f>
        <v>00370195</v>
      </c>
      <c r="G2648" t="s">
        <v>240</v>
      </c>
      <c r="H2648" t="s">
        <v>20</v>
      </c>
      <c r="I2648">
        <v>1535</v>
      </c>
      <c r="J2648" t="s">
        <v>21</v>
      </c>
      <c r="K2648">
        <v>6</v>
      </c>
      <c r="L2648" t="s">
        <v>35</v>
      </c>
      <c r="M2648">
        <v>925</v>
      </c>
    </row>
    <row r="2649" spans="1:13">
      <c r="A2649">
        <v>2643</v>
      </c>
      <c r="B2649">
        <v>105001</v>
      </c>
      <c r="C2649" t="s">
        <v>5840</v>
      </c>
      <c r="D2649" t="s">
        <v>5841</v>
      </c>
      <c r="E2649" t="s">
        <v>5842</v>
      </c>
      <c r="F2649" t="str">
        <f>"00406016"</f>
        <v>00406016</v>
      </c>
      <c r="G2649" t="s">
        <v>125</v>
      </c>
      <c r="H2649" t="s">
        <v>20</v>
      </c>
      <c r="I2649">
        <v>1507</v>
      </c>
      <c r="J2649" t="s">
        <v>21</v>
      </c>
      <c r="K2649">
        <v>0</v>
      </c>
      <c r="L2649" t="s">
        <v>35</v>
      </c>
      <c r="M2649">
        <v>1051</v>
      </c>
    </row>
    <row r="2650" spans="1:13">
      <c r="A2650">
        <v>2644</v>
      </c>
      <c r="B2650">
        <v>67360</v>
      </c>
      <c r="C2650" t="s">
        <v>5843</v>
      </c>
      <c r="D2650" t="s">
        <v>3684</v>
      </c>
      <c r="E2650" t="s">
        <v>5844</v>
      </c>
      <c r="F2650" t="str">
        <f>"00377698"</f>
        <v>00377698</v>
      </c>
      <c r="G2650" t="s">
        <v>125</v>
      </c>
      <c r="H2650" t="s">
        <v>20</v>
      </c>
      <c r="I2650">
        <v>1507</v>
      </c>
      <c r="J2650" t="s">
        <v>21</v>
      </c>
      <c r="K2650">
        <v>0</v>
      </c>
      <c r="L2650" t="s">
        <v>35</v>
      </c>
      <c r="M2650">
        <v>975</v>
      </c>
    </row>
    <row r="2651" spans="1:13">
      <c r="A2651">
        <v>2645</v>
      </c>
      <c r="B2651">
        <v>65643</v>
      </c>
      <c r="C2651" t="s">
        <v>5845</v>
      </c>
      <c r="D2651" t="s">
        <v>243</v>
      </c>
      <c r="E2651" t="s">
        <v>5846</v>
      </c>
      <c r="F2651" t="str">
        <f>"00355090"</f>
        <v>00355090</v>
      </c>
      <c r="G2651" t="s">
        <v>2458</v>
      </c>
      <c r="H2651" t="s">
        <v>270</v>
      </c>
      <c r="I2651">
        <v>1584</v>
      </c>
      <c r="J2651" t="s">
        <v>21</v>
      </c>
      <c r="K2651">
        <v>0</v>
      </c>
      <c r="L2651" t="s">
        <v>35</v>
      </c>
      <c r="M2651">
        <v>1158</v>
      </c>
    </row>
    <row r="2652" spans="1:13">
      <c r="A2652">
        <v>2646</v>
      </c>
      <c r="B2652">
        <v>93013</v>
      </c>
      <c r="C2652" t="s">
        <v>5847</v>
      </c>
      <c r="D2652" t="s">
        <v>90</v>
      </c>
      <c r="E2652" t="s">
        <v>5848</v>
      </c>
      <c r="F2652" t="str">
        <f>"00256258"</f>
        <v>00256258</v>
      </c>
      <c r="G2652" t="s">
        <v>371</v>
      </c>
      <c r="H2652" t="s">
        <v>20</v>
      </c>
      <c r="I2652">
        <v>1526</v>
      </c>
      <c r="J2652" t="s">
        <v>21</v>
      </c>
      <c r="K2652">
        <v>6</v>
      </c>
      <c r="M2652">
        <v>1228</v>
      </c>
    </row>
    <row r="2653" spans="1:13">
      <c r="A2653">
        <v>2647</v>
      </c>
      <c r="B2653">
        <v>107351</v>
      </c>
      <c r="C2653" t="s">
        <v>5849</v>
      </c>
      <c r="D2653" t="s">
        <v>218</v>
      </c>
      <c r="E2653" t="s">
        <v>5850</v>
      </c>
      <c r="F2653" t="str">
        <f>"00421057"</f>
        <v>00421057</v>
      </c>
      <c r="G2653" t="s">
        <v>375</v>
      </c>
      <c r="H2653" t="s">
        <v>20</v>
      </c>
      <c r="I2653">
        <v>1516</v>
      </c>
      <c r="J2653" t="s">
        <v>21</v>
      </c>
      <c r="K2653">
        <v>0</v>
      </c>
      <c r="L2653" t="s">
        <v>35</v>
      </c>
      <c r="M2653">
        <v>1008</v>
      </c>
    </row>
    <row r="2654" spans="1:13">
      <c r="A2654">
        <v>2648</v>
      </c>
      <c r="B2654">
        <v>104384</v>
      </c>
      <c r="C2654" t="s">
        <v>5851</v>
      </c>
      <c r="D2654" t="s">
        <v>280</v>
      </c>
      <c r="E2654" t="s">
        <v>5852</v>
      </c>
      <c r="F2654" t="str">
        <f>"00407271"</f>
        <v>00407271</v>
      </c>
      <c r="G2654" t="s">
        <v>29</v>
      </c>
      <c r="H2654" t="s">
        <v>20</v>
      </c>
      <c r="I2654">
        <v>1446</v>
      </c>
      <c r="J2654" t="s">
        <v>21</v>
      </c>
      <c r="K2654">
        <v>0</v>
      </c>
      <c r="M2654">
        <v>1475</v>
      </c>
    </row>
    <row r="2655" spans="1:13">
      <c r="A2655">
        <v>2649</v>
      </c>
      <c r="B2655">
        <v>79643</v>
      </c>
      <c r="C2655" t="s">
        <v>5853</v>
      </c>
      <c r="D2655" t="s">
        <v>76</v>
      </c>
      <c r="E2655" t="s">
        <v>5854</v>
      </c>
      <c r="F2655" t="str">
        <f>"00270011"</f>
        <v>00270011</v>
      </c>
      <c r="G2655" t="s">
        <v>593</v>
      </c>
      <c r="H2655" t="s">
        <v>20</v>
      </c>
      <c r="I2655">
        <v>1444</v>
      </c>
      <c r="J2655" t="s">
        <v>21</v>
      </c>
      <c r="K2655">
        <v>0</v>
      </c>
      <c r="M2655">
        <v>1563</v>
      </c>
    </row>
    <row r="2656" spans="1:13">
      <c r="A2656">
        <v>2650</v>
      </c>
      <c r="B2656">
        <v>78573</v>
      </c>
      <c r="C2656" t="s">
        <v>5855</v>
      </c>
      <c r="D2656" t="s">
        <v>76</v>
      </c>
      <c r="E2656" t="s">
        <v>5856</v>
      </c>
      <c r="F2656" t="str">
        <f>"00277373"</f>
        <v>00277373</v>
      </c>
      <c r="G2656" t="s">
        <v>111</v>
      </c>
      <c r="H2656" t="s">
        <v>48</v>
      </c>
      <c r="I2656">
        <v>1620</v>
      </c>
      <c r="J2656" t="s">
        <v>21</v>
      </c>
      <c r="K2656">
        <v>0</v>
      </c>
      <c r="L2656" t="s">
        <v>88</v>
      </c>
      <c r="M2656">
        <v>525</v>
      </c>
    </row>
    <row r="2657" spans="1:13">
      <c r="A2657">
        <v>2651</v>
      </c>
      <c r="B2657">
        <v>80302</v>
      </c>
      <c r="C2657" t="s">
        <v>5857</v>
      </c>
      <c r="D2657" t="s">
        <v>243</v>
      </c>
      <c r="E2657" t="s">
        <v>5858</v>
      </c>
      <c r="F2657" t="str">
        <f>"00403649"</f>
        <v>00403649</v>
      </c>
      <c r="G2657" t="s">
        <v>955</v>
      </c>
      <c r="H2657" t="s">
        <v>48</v>
      </c>
      <c r="I2657">
        <v>1630</v>
      </c>
      <c r="J2657" t="s">
        <v>21</v>
      </c>
      <c r="K2657">
        <v>0</v>
      </c>
      <c r="M2657">
        <v>1388</v>
      </c>
    </row>
    <row r="2658" spans="1:13">
      <c r="A2658">
        <v>2652</v>
      </c>
      <c r="B2658">
        <v>66130</v>
      </c>
      <c r="C2658" t="s">
        <v>5859</v>
      </c>
      <c r="D2658" t="s">
        <v>5389</v>
      </c>
      <c r="E2658" t="s">
        <v>5860</v>
      </c>
      <c r="F2658" t="str">
        <f>"00385827"</f>
        <v>00385827</v>
      </c>
      <c r="G2658" t="s">
        <v>561</v>
      </c>
      <c r="H2658" t="s">
        <v>20</v>
      </c>
      <c r="I2658">
        <v>1574</v>
      </c>
      <c r="J2658" t="s">
        <v>21</v>
      </c>
      <c r="K2658">
        <v>0</v>
      </c>
      <c r="L2658" t="s">
        <v>59</v>
      </c>
      <c r="M2658">
        <v>1028</v>
      </c>
    </row>
    <row r="2659" spans="1:13">
      <c r="A2659">
        <v>2653</v>
      </c>
      <c r="B2659">
        <v>104234</v>
      </c>
      <c r="C2659" t="s">
        <v>5861</v>
      </c>
      <c r="D2659" t="s">
        <v>105</v>
      </c>
      <c r="E2659" t="s">
        <v>5862</v>
      </c>
      <c r="F2659" t="str">
        <f>"201511022910"</f>
        <v>201511022910</v>
      </c>
      <c r="G2659" t="s">
        <v>125</v>
      </c>
      <c r="H2659" t="s">
        <v>20</v>
      </c>
      <c r="I2659">
        <v>1507</v>
      </c>
      <c r="J2659" t="s">
        <v>21</v>
      </c>
      <c r="K2659">
        <v>0</v>
      </c>
      <c r="L2659" t="s">
        <v>35</v>
      </c>
      <c r="M2659">
        <v>958</v>
      </c>
    </row>
    <row r="2660" spans="1:13">
      <c r="A2660">
        <v>2654</v>
      </c>
      <c r="B2660">
        <v>65111</v>
      </c>
      <c r="C2660" t="s">
        <v>5863</v>
      </c>
      <c r="D2660" t="s">
        <v>205</v>
      </c>
      <c r="E2660" t="s">
        <v>5864</v>
      </c>
      <c r="F2660" t="str">
        <f>"00362481"</f>
        <v>00362481</v>
      </c>
      <c r="G2660" t="s">
        <v>125</v>
      </c>
      <c r="H2660" t="s">
        <v>20</v>
      </c>
      <c r="I2660">
        <v>1507</v>
      </c>
      <c r="J2660" t="s">
        <v>21</v>
      </c>
      <c r="K2660">
        <v>0</v>
      </c>
      <c r="L2660" t="s">
        <v>35</v>
      </c>
      <c r="M2660">
        <v>1004</v>
      </c>
    </row>
    <row r="2661" spans="1:13">
      <c r="A2661">
        <v>2655</v>
      </c>
      <c r="B2661">
        <v>80713</v>
      </c>
      <c r="C2661" t="s">
        <v>5865</v>
      </c>
      <c r="D2661" t="s">
        <v>80</v>
      </c>
      <c r="E2661" t="s">
        <v>5866</v>
      </c>
      <c r="F2661" t="str">
        <f>"00371422"</f>
        <v>00371422</v>
      </c>
      <c r="G2661" t="s">
        <v>125</v>
      </c>
      <c r="H2661" t="s">
        <v>20</v>
      </c>
      <c r="I2661">
        <v>1507</v>
      </c>
      <c r="J2661" t="s">
        <v>21</v>
      </c>
      <c r="K2661">
        <v>0</v>
      </c>
      <c r="M2661">
        <v>1460</v>
      </c>
    </row>
    <row r="2662" spans="1:13">
      <c r="A2662">
        <v>2656</v>
      </c>
      <c r="B2662">
        <v>63461</v>
      </c>
      <c r="C2662" t="s">
        <v>5867</v>
      </c>
      <c r="D2662" t="s">
        <v>180</v>
      </c>
      <c r="E2662" t="s">
        <v>5868</v>
      </c>
      <c r="F2662" t="str">
        <f>"00237322"</f>
        <v>00237322</v>
      </c>
      <c r="G2662" t="s">
        <v>547</v>
      </c>
      <c r="H2662" t="s">
        <v>274</v>
      </c>
      <c r="I2662">
        <v>1384</v>
      </c>
      <c r="J2662" t="s">
        <v>21</v>
      </c>
      <c r="K2662">
        <v>6</v>
      </c>
      <c r="M2662">
        <v>1428</v>
      </c>
    </row>
    <row r="2663" spans="1:13">
      <c r="A2663">
        <v>2657</v>
      </c>
      <c r="B2663">
        <v>86402</v>
      </c>
      <c r="C2663" t="s">
        <v>5869</v>
      </c>
      <c r="D2663" t="s">
        <v>198</v>
      </c>
      <c r="E2663" t="s">
        <v>5870</v>
      </c>
      <c r="F2663" t="str">
        <f>"00013754"</f>
        <v>00013754</v>
      </c>
      <c r="G2663" t="s">
        <v>856</v>
      </c>
      <c r="H2663" t="s">
        <v>366</v>
      </c>
      <c r="I2663">
        <v>1706</v>
      </c>
      <c r="J2663" t="s">
        <v>21</v>
      </c>
      <c r="K2663">
        <v>0</v>
      </c>
      <c r="L2663" t="s">
        <v>83</v>
      </c>
      <c r="M2663">
        <v>1218</v>
      </c>
    </row>
    <row r="2664" spans="1:13">
      <c r="A2664">
        <v>2658</v>
      </c>
      <c r="B2664">
        <v>78462</v>
      </c>
      <c r="C2664" t="s">
        <v>5871</v>
      </c>
      <c r="D2664" t="s">
        <v>180</v>
      </c>
      <c r="E2664" t="s">
        <v>5872</v>
      </c>
      <c r="F2664" t="str">
        <f>"00317362"</f>
        <v>00317362</v>
      </c>
      <c r="G2664" t="s">
        <v>683</v>
      </c>
      <c r="H2664" t="s">
        <v>535</v>
      </c>
      <c r="I2664">
        <v>1670</v>
      </c>
      <c r="J2664" t="s">
        <v>21</v>
      </c>
      <c r="K2664">
        <v>0</v>
      </c>
      <c r="M2664">
        <v>1338</v>
      </c>
    </row>
    <row r="2665" spans="1:13">
      <c r="A2665">
        <v>2659</v>
      </c>
      <c r="B2665">
        <v>90166</v>
      </c>
      <c r="C2665" t="s">
        <v>5873</v>
      </c>
      <c r="D2665" t="s">
        <v>213</v>
      </c>
      <c r="E2665" t="s">
        <v>5874</v>
      </c>
      <c r="F2665" t="str">
        <f>"201412003707"</f>
        <v>201412003707</v>
      </c>
      <c r="G2665" t="s">
        <v>465</v>
      </c>
      <c r="H2665" t="s">
        <v>20</v>
      </c>
      <c r="I2665">
        <v>1534</v>
      </c>
      <c r="J2665" t="s">
        <v>21</v>
      </c>
      <c r="K2665">
        <v>0</v>
      </c>
      <c r="L2665" t="s">
        <v>88</v>
      </c>
      <c r="M2665">
        <v>500</v>
      </c>
    </row>
    <row r="2666" spans="1:13">
      <c r="A2666">
        <v>2660</v>
      </c>
      <c r="B2666">
        <v>78769</v>
      </c>
      <c r="C2666" t="s">
        <v>5875</v>
      </c>
      <c r="D2666" t="s">
        <v>243</v>
      </c>
      <c r="E2666" t="s">
        <v>5876</v>
      </c>
      <c r="F2666" t="str">
        <f>"00409342"</f>
        <v>00409342</v>
      </c>
      <c r="G2666" t="s">
        <v>1160</v>
      </c>
      <c r="H2666" t="s">
        <v>20</v>
      </c>
      <c r="I2666">
        <v>1424</v>
      </c>
      <c r="J2666" t="s">
        <v>21</v>
      </c>
      <c r="K2666">
        <v>0</v>
      </c>
      <c r="M2666">
        <v>1563</v>
      </c>
    </row>
    <row r="2667" spans="1:13">
      <c r="A2667">
        <v>2661</v>
      </c>
      <c r="B2667">
        <v>98949</v>
      </c>
      <c r="C2667" t="s">
        <v>5877</v>
      </c>
      <c r="D2667" t="s">
        <v>205</v>
      </c>
      <c r="E2667" t="s">
        <v>5878</v>
      </c>
      <c r="F2667" t="str">
        <f>"00287240"</f>
        <v>00287240</v>
      </c>
      <c r="G2667" t="s">
        <v>561</v>
      </c>
      <c r="H2667" t="s">
        <v>20</v>
      </c>
      <c r="I2667">
        <v>1574</v>
      </c>
      <c r="J2667" t="s">
        <v>21</v>
      </c>
      <c r="K2667">
        <v>0</v>
      </c>
      <c r="L2667" t="s">
        <v>35</v>
      </c>
      <c r="M2667">
        <v>875</v>
      </c>
    </row>
    <row r="2668" spans="1:13">
      <c r="A2668">
        <v>2662</v>
      </c>
      <c r="B2668">
        <v>54870</v>
      </c>
      <c r="C2668" t="s">
        <v>5879</v>
      </c>
      <c r="D2668" t="s">
        <v>80</v>
      </c>
      <c r="E2668" t="s">
        <v>5880</v>
      </c>
      <c r="F2668" t="str">
        <f>"00283574"</f>
        <v>00283574</v>
      </c>
      <c r="G2668" t="s">
        <v>24</v>
      </c>
      <c r="H2668" t="s">
        <v>20</v>
      </c>
      <c r="I2668">
        <v>1577</v>
      </c>
      <c r="J2668" t="s">
        <v>21</v>
      </c>
      <c r="K2668">
        <v>0</v>
      </c>
      <c r="L2668" t="s">
        <v>35</v>
      </c>
      <c r="M2668">
        <v>858</v>
      </c>
    </row>
    <row r="2669" spans="1:13">
      <c r="A2669">
        <v>2663</v>
      </c>
      <c r="B2669">
        <v>97405</v>
      </c>
      <c r="C2669" t="s">
        <v>5881</v>
      </c>
      <c r="D2669" t="s">
        <v>180</v>
      </c>
      <c r="E2669" t="s">
        <v>5882</v>
      </c>
      <c r="F2669" t="str">
        <f>"00102594"</f>
        <v>00102594</v>
      </c>
      <c r="G2669" t="s">
        <v>150</v>
      </c>
      <c r="H2669" t="s">
        <v>151</v>
      </c>
      <c r="I2669">
        <v>1699</v>
      </c>
      <c r="J2669" t="s">
        <v>21</v>
      </c>
      <c r="K2669">
        <v>0</v>
      </c>
      <c r="L2669" t="s">
        <v>35</v>
      </c>
      <c r="M2669">
        <v>850</v>
      </c>
    </row>
    <row r="2670" spans="1:13">
      <c r="A2670">
        <v>2664</v>
      </c>
      <c r="B2670">
        <v>72523</v>
      </c>
      <c r="C2670" t="s">
        <v>5883</v>
      </c>
      <c r="D2670" t="s">
        <v>80</v>
      </c>
      <c r="E2670" t="s">
        <v>5884</v>
      </c>
      <c r="F2670" t="str">
        <f>"00394113"</f>
        <v>00394113</v>
      </c>
      <c r="G2670" t="s">
        <v>1345</v>
      </c>
      <c r="H2670" t="s">
        <v>137</v>
      </c>
      <c r="I2670">
        <v>1606</v>
      </c>
      <c r="J2670" t="s">
        <v>21</v>
      </c>
      <c r="K2670">
        <v>0</v>
      </c>
      <c r="L2670" t="s">
        <v>35</v>
      </c>
      <c r="M2670">
        <v>1135</v>
      </c>
    </row>
    <row r="2671" spans="1:13">
      <c r="A2671">
        <v>2665</v>
      </c>
      <c r="B2671">
        <v>61608</v>
      </c>
      <c r="C2671" t="s">
        <v>5885</v>
      </c>
      <c r="D2671" t="s">
        <v>213</v>
      </c>
      <c r="E2671" t="s">
        <v>5886</v>
      </c>
      <c r="F2671" t="str">
        <f>"00361960"</f>
        <v>00361960</v>
      </c>
      <c r="G2671" t="s">
        <v>459</v>
      </c>
      <c r="H2671" t="s">
        <v>20</v>
      </c>
      <c r="I2671">
        <v>1485</v>
      </c>
      <c r="J2671" t="s">
        <v>21</v>
      </c>
      <c r="K2671">
        <v>6</v>
      </c>
      <c r="L2671" t="s">
        <v>59</v>
      </c>
      <c r="M2671">
        <v>700</v>
      </c>
    </row>
    <row r="2672" spans="1:13">
      <c r="A2672">
        <v>2666</v>
      </c>
      <c r="B2672">
        <v>59308</v>
      </c>
      <c r="C2672" t="s">
        <v>5887</v>
      </c>
      <c r="D2672" t="s">
        <v>243</v>
      </c>
      <c r="E2672" t="s">
        <v>5888</v>
      </c>
      <c r="F2672" t="str">
        <f>"201308000059"</f>
        <v>201308000059</v>
      </c>
      <c r="G2672" t="s">
        <v>111</v>
      </c>
      <c r="H2672" t="s">
        <v>48</v>
      </c>
      <c r="I2672">
        <v>1620</v>
      </c>
      <c r="J2672" t="s">
        <v>21</v>
      </c>
      <c r="K2672">
        <v>0</v>
      </c>
      <c r="M2672">
        <v>1428</v>
      </c>
    </row>
    <row r="2673" spans="1:13">
      <c r="A2673">
        <v>2667</v>
      </c>
      <c r="B2673">
        <v>52005</v>
      </c>
      <c r="C2673" t="s">
        <v>5889</v>
      </c>
      <c r="D2673" t="s">
        <v>180</v>
      </c>
      <c r="E2673" t="s">
        <v>5890</v>
      </c>
      <c r="F2673" t="str">
        <f>"00357379"</f>
        <v>00357379</v>
      </c>
      <c r="G2673" t="s">
        <v>600</v>
      </c>
      <c r="H2673" t="s">
        <v>366</v>
      </c>
      <c r="I2673">
        <v>1694</v>
      </c>
      <c r="J2673" t="s">
        <v>21</v>
      </c>
      <c r="K2673">
        <v>0</v>
      </c>
      <c r="L2673" t="s">
        <v>112</v>
      </c>
      <c r="M2673">
        <v>808</v>
      </c>
    </row>
    <row r="2674" spans="1:13">
      <c r="A2674">
        <v>2668</v>
      </c>
      <c r="B2674">
        <v>84902</v>
      </c>
      <c r="C2674" t="s">
        <v>5891</v>
      </c>
      <c r="D2674" t="s">
        <v>205</v>
      </c>
      <c r="E2674" t="s">
        <v>5892</v>
      </c>
      <c r="F2674" t="str">
        <f>"00411618"</f>
        <v>00411618</v>
      </c>
      <c r="G2674" t="s">
        <v>226</v>
      </c>
      <c r="H2674" t="s">
        <v>20</v>
      </c>
      <c r="I2674">
        <v>1510</v>
      </c>
      <c r="J2674" t="s">
        <v>21</v>
      </c>
      <c r="K2674">
        <v>0</v>
      </c>
      <c r="L2674" t="s">
        <v>35</v>
      </c>
      <c r="M2674">
        <v>836</v>
      </c>
    </row>
    <row r="2675" spans="1:13">
      <c r="A2675">
        <v>2669</v>
      </c>
      <c r="B2675">
        <v>99031</v>
      </c>
      <c r="C2675" t="s">
        <v>5893</v>
      </c>
      <c r="D2675" t="s">
        <v>566</v>
      </c>
      <c r="E2675" t="s">
        <v>5894</v>
      </c>
      <c r="F2675" t="str">
        <f>"00390638"</f>
        <v>00390638</v>
      </c>
      <c r="G2675" t="s">
        <v>211</v>
      </c>
      <c r="H2675" t="s">
        <v>48</v>
      </c>
      <c r="I2675">
        <v>1628</v>
      </c>
      <c r="J2675" t="s">
        <v>21</v>
      </c>
      <c r="K2675">
        <v>0</v>
      </c>
      <c r="L2675" t="s">
        <v>35</v>
      </c>
      <c r="M2675">
        <v>908</v>
      </c>
    </row>
    <row r="2676" spans="1:13">
      <c r="A2676">
        <v>2670</v>
      </c>
      <c r="B2676">
        <v>89722</v>
      </c>
      <c r="C2676" t="s">
        <v>5895</v>
      </c>
      <c r="D2676" t="s">
        <v>209</v>
      </c>
      <c r="E2676" t="s">
        <v>5896</v>
      </c>
      <c r="F2676" t="str">
        <f>"00382798"</f>
        <v>00382798</v>
      </c>
      <c r="G2676" t="s">
        <v>883</v>
      </c>
      <c r="H2676" t="s">
        <v>270</v>
      </c>
      <c r="I2676">
        <v>1585</v>
      </c>
      <c r="J2676" t="s">
        <v>21</v>
      </c>
      <c r="K2676">
        <v>0</v>
      </c>
      <c r="L2676" t="s">
        <v>88</v>
      </c>
      <c r="M2676">
        <v>468</v>
      </c>
    </row>
    <row r="2677" spans="1:13">
      <c r="A2677">
        <v>2671</v>
      </c>
      <c r="B2677">
        <v>47428</v>
      </c>
      <c r="C2677" t="s">
        <v>5897</v>
      </c>
      <c r="D2677" t="s">
        <v>80</v>
      </c>
      <c r="E2677" t="s">
        <v>5898</v>
      </c>
      <c r="F2677" t="str">
        <f>"00349688"</f>
        <v>00349688</v>
      </c>
      <c r="G2677" t="s">
        <v>150</v>
      </c>
      <c r="H2677" t="s">
        <v>151</v>
      </c>
      <c r="I2677">
        <v>1699</v>
      </c>
      <c r="J2677" t="s">
        <v>21</v>
      </c>
      <c r="K2677">
        <v>0</v>
      </c>
      <c r="M2677">
        <v>1348</v>
      </c>
    </row>
    <row r="2678" spans="1:13">
      <c r="A2678">
        <v>2672</v>
      </c>
      <c r="B2678">
        <v>50420</v>
      </c>
      <c r="C2678" t="s">
        <v>5899</v>
      </c>
      <c r="D2678" t="s">
        <v>243</v>
      </c>
      <c r="E2678" t="s">
        <v>5900</v>
      </c>
      <c r="F2678" t="str">
        <f>"00022920"</f>
        <v>00022920</v>
      </c>
      <c r="G2678" t="s">
        <v>111</v>
      </c>
      <c r="H2678" t="s">
        <v>48</v>
      </c>
      <c r="I2678">
        <v>1620</v>
      </c>
      <c r="J2678" t="s">
        <v>21</v>
      </c>
      <c r="K2678">
        <v>0</v>
      </c>
      <c r="L2678" t="s">
        <v>59</v>
      </c>
      <c r="M2678">
        <v>888</v>
      </c>
    </row>
    <row r="2679" spans="1:13">
      <c r="A2679">
        <v>2673</v>
      </c>
      <c r="B2679">
        <v>94255</v>
      </c>
      <c r="C2679" t="s">
        <v>5901</v>
      </c>
      <c r="D2679" t="s">
        <v>76</v>
      </c>
      <c r="E2679" t="s">
        <v>5902</v>
      </c>
      <c r="F2679" t="str">
        <f>"00059545"</f>
        <v>00059545</v>
      </c>
      <c r="G2679" t="s">
        <v>561</v>
      </c>
      <c r="H2679" t="s">
        <v>20</v>
      </c>
      <c r="I2679">
        <v>1574</v>
      </c>
      <c r="J2679" t="s">
        <v>21</v>
      </c>
      <c r="K2679">
        <v>0</v>
      </c>
      <c r="L2679" t="s">
        <v>83</v>
      </c>
      <c r="M2679">
        <v>1288</v>
      </c>
    </row>
    <row r="2680" spans="1:13">
      <c r="A2680">
        <v>2674</v>
      </c>
      <c r="B2680">
        <v>98697</v>
      </c>
      <c r="C2680" t="s">
        <v>5903</v>
      </c>
      <c r="D2680" t="s">
        <v>209</v>
      </c>
      <c r="E2680" t="s">
        <v>5904</v>
      </c>
      <c r="F2680" t="str">
        <f>"00381696"</f>
        <v>00381696</v>
      </c>
      <c r="G2680" t="s">
        <v>1107</v>
      </c>
      <c r="H2680" t="s">
        <v>48</v>
      </c>
      <c r="I2680">
        <v>1626</v>
      </c>
      <c r="J2680" t="s">
        <v>21</v>
      </c>
      <c r="K2680">
        <v>0</v>
      </c>
      <c r="L2680" t="s">
        <v>88</v>
      </c>
      <c r="M2680">
        <v>450</v>
      </c>
    </row>
    <row r="2681" spans="1:13">
      <c r="A2681">
        <v>2675</v>
      </c>
      <c r="B2681">
        <v>49492</v>
      </c>
      <c r="C2681" t="s">
        <v>5905</v>
      </c>
      <c r="D2681" t="s">
        <v>105</v>
      </c>
      <c r="E2681" t="s">
        <v>5906</v>
      </c>
      <c r="F2681" t="str">
        <f>"00358820"</f>
        <v>00358820</v>
      </c>
      <c r="G2681" t="s">
        <v>713</v>
      </c>
      <c r="H2681" t="s">
        <v>751</v>
      </c>
      <c r="I2681">
        <v>1319</v>
      </c>
      <c r="J2681" t="s">
        <v>21</v>
      </c>
      <c r="K2681">
        <v>0</v>
      </c>
      <c r="M2681">
        <v>1828</v>
      </c>
    </row>
    <row r="2682" spans="1:13">
      <c r="A2682">
        <v>2676</v>
      </c>
      <c r="B2682">
        <v>77203</v>
      </c>
      <c r="C2682" t="s">
        <v>5907</v>
      </c>
      <c r="D2682" t="s">
        <v>90</v>
      </c>
      <c r="E2682" t="s">
        <v>5908</v>
      </c>
      <c r="F2682" t="str">
        <f>"00274791"</f>
        <v>00274791</v>
      </c>
      <c r="G2682" t="s">
        <v>883</v>
      </c>
      <c r="H2682" t="s">
        <v>270</v>
      </c>
      <c r="I2682">
        <v>1585</v>
      </c>
      <c r="J2682" t="s">
        <v>21</v>
      </c>
      <c r="K2682">
        <v>0</v>
      </c>
      <c r="L2682" t="s">
        <v>88</v>
      </c>
      <c r="M2682">
        <v>655</v>
      </c>
    </row>
    <row r="2683" spans="1:13">
      <c r="A2683">
        <v>2677</v>
      </c>
      <c r="B2683">
        <v>108416</v>
      </c>
      <c r="C2683" t="s">
        <v>5909</v>
      </c>
      <c r="D2683" t="s">
        <v>76</v>
      </c>
      <c r="E2683" t="s">
        <v>5910</v>
      </c>
      <c r="F2683" t="str">
        <f>"00420820"</f>
        <v>00420820</v>
      </c>
      <c r="G2683" t="s">
        <v>358</v>
      </c>
      <c r="H2683" t="s">
        <v>20</v>
      </c>
      <c r="I2683">
        <v>1549</v>
      </c>
      <c r="J2683" t="s">
        <v>21</v>
      </c>
      <c r="K2683">
        <v>0</v>
      </c>
      <c r="M2683">
        <v>1488</v>
      </c>
    </row>
    <row r="2684" spans="1:13">
      <c r="A2684">
        <v>2678</v>
      </c>
      <c r="B2684">
        <v>83701</v>
      </c>
      <c r="C2684" t="s">
        <v>5911</v>
      </c>
      <c r="D2684" t="s">
        <v>198</v>
      </c>
      <c r="E2684" t="s">
        <v>5912</v>
      </c>
      <c r="F2684" t="str">
        <f>"00371308"</f>
        <v>00371308</v>
      </c>
      <c r="G2684" t="s">
        <v>358</v>
      </c>
      <c r="H2684" t="s">
        <v>20</v>
      </c>
      <c r="I2684">
        <v>1549</v>
      </c>
      <c r="J2684" t="s">
        <v>21</v>
      </c>
      <c r="K2684">
        <v>0</v>
      </c>
      <c r="M2684">
        <v>1388</v>
      </c>
    </row>
    <row r="2685" spans="1:13">
      <c r="A2685">
        <v>2679</v>
      </c>
      <c r="B2685">
        <v>77826</v>
      </c>
      <c r="C2685" t="s">
        <v>5913</v>
      </c>
      <c r="D2685" t="s">
        <v>373</v>
      </c>
      <c r="E2685" t="s">
        <v>5914</v>
      </c>
      <c r="F2685" t="str">
        <f>"00331891"</f>
        <v>00331891</v>
      </c>
      <c r="G2685" t="s">
        <v>255</v>
      </c>
      <c r="H2685" t="s">
        <v>20</v>
      </c>
      <c r="I2685">
        <v>1513</v>
      </c>
      <c r="J2685" t="s">
        <v>21</v>
      </c>
      <c r="K2685">
        <v>6</v>
      </c>
      <c r="L2685" t="s">
        <v>83</v>
      </c>
      <c r="M2685">
        <v>1102</v>
      </c>
    </row>
    <row r="2686" spans="1:13">
      <c r="A2686">
        <v>2680</v>
      </c>
      <c r="B2686">
        <v>68952</v>
      </c>
      <c r="C2686" t="s">
        <v>5915</v>
      </c>
      <c r="D2686" t="s">
        <v>105</v>
      </c>
      <c r="E2686" t="s">
        <v>5916</v>
      </c>
      <c r="F2686" t="str">
        <f>"200811000125"</f>
        <v>200811000125</v>
      </c>
      <c r="G2686" t="s">
        <v>371</v>
      </c>
      <c r="H2686" t="s">
        <v>5917</v>
      </c>
      <c r="I2686">
        <v>1317</v>
      </c>
      <c r="J2686" t="s">
        <v>21</v>
      </c>
      <c r="K2686">
        <v>6</v>
      </c>
      <c r="L2686" t="s">
        <v>35</v>
      </c>
      <c r="M2686">
        <v>608</v>
      </c>
    </row>
    <row r="2687" spans="1:13">
      <c r="A2687">
        <v>2681</v>
      </c>
      <c r="B2687">
        <v>68377</v>
      </c>
      <c r="C2687" t="s">
        <v>5918</v>
      </c>
      <c r="D2687" t="s">
        <v>243</v>
      </c>
      <c r="E2687" t="s">
        <v>5919</v>
      </c>
      <c r="F2687" t="str">
        <f>"00382209"</f>
        <v>00382209</v>
      </c>
      <c r="G2687" t="s">
        <v>38</v>
      </c>
      <c r="H2687" t="s">
        <v>39</v>
      </c>
      <c r="I2687">
        <v>1634</v>
      </c>
      <c r="J2687" t="s">
        <v>21</v>
      </c>
      <c r="K2687">
        <v>6</v>
      </c>
      <c r="M2687">
        <v>1463</v>
      </c>
    </row>
    <row r="2688" spans="1:13">
      <c r="A2688">
        <v>2682</v>
      </c>
      <c r="B2688">
        <v>89760</v>
      </c>
      <c r="C2688" t="s">
        <v>5920</v>
      </c>
      <c r="D2688" t="s">
        <v>145</v>
      </c>
      <c r="E2688" t="s">
        <v>5921</v>
      </c>
      <c r="F2688" t="str">
        <f>"00404273"</f>
        <v>00404273</v>
      </c>
      <c r="G2688" t="s">
        <v>576</v>
      </c>
      <c r="H2688" t="s">
        <v>535</v>
      </c>
      <c r="I2688">
        <v>1666</v>
      </c>
      <c r="J2688" t="s">
        <v>21</v>
      </c>
      <c r="K2688">
        <v>6</v>
      </c>
      <c r="M2688">
        <v>1328</v>
      </c>
    </row>
    <row r="2689" spans="1:13">
      <c r="A2689">
        <v>2683</v>
      </c>
      <c r="B2689">
        <v>47355</v>
      </c>
      <c r="C2689" t="s">
        <v>5922</v>
      </c>
      <c r="D2689" t="s">
        <v>209</v>
      </c>
      <c r="E2689" t="s">
        <v>5923</v>
      </c>
      <c r="F2689" t="str">
        <f>"00172431"</f>
        <v>00172431</v>
      </c>
      <c r="G2689" t="s">
        <v>5924</v>
      </c>
      <c r="H2689" t="s">
        <v>5925</v>
      </c>
      <c r="I2689">
        <v>1357</v>
      </c>
      <c r="J2689" t="s">
        <v>21</v>
      </c>
      <c r="K2689">
        <v>0</v>
      </c>
      <c r="L2689" t="s">
        <v>35</v>
      </c>
      <c r="M2689">
        <v>1308</v>
      </c>
    </row>
    <row r="2690" spans="1:13">
      <c r="A2690">
        <v>2684</v>
      </c>
      <c r="B2690">
        <v>114109</v>
      </c>
      <c r="C2690" t="s">
        <v>5926</v>
      </c>
      <c r="D2690" t="s">
        <v>243</v>
      </c>
      <c r="E2690" t="s">
        <v>5927</v>
      </c>
      <c r="F2690" t="str">
        <f>"00410628"</f>
        <v>00410628</v>
      </c>
      <c r="G2690" t="s">
        <v>724</v>
      </c>
      <c r="H2690" t="s">
        <v>20</v>
      </c>
      <c r="I2690">
        <v>1411</v>
      </c>
      <c r="J2690" t="s">
        <v>21</v>
      </c>
      <c r="K2690">
        <v>0</v>
      </c>
      <c r="L2690" t="s">
        <v>59</v>
      </c>
      <c r="M2690">
        <v>818</v>
      </c>
    </row>
    <row r="2691" spans="1:13">
      <c r="A2691">
        <v>2685</v>
      </c>
      <c r="B2691">
        <v>77969</v>
      </c>
      <c r="C2691" t="s">
        <v>5928</v>
      </c>
      <c r="D2691" t="s">
        <v>85</v>
      </c>
      <c r="E2691" t="s">
        <v>5929</v>
      </c>
      <c r="F2691" t="str">
        <f>"00385590"</f>
        <v>00385590</v>
      </c>
      <c r="G2691" t="s">
        <v>1504</v>
      </c>
      <c r="H2691" t="s">
        <v>234</v>
      </c>
      <c r="I2691">
        <v>1334</v>
      </c>
      <c r="J2691" t="s">
        <v>21</v>
      </c>
      <c r="K2691">
        <v>6</v>
      </c>
      <c r="L2691" t="s">
        <v>35</v>
      </c>
      <c r="M2691">
        <v>808</v>
      </c>
    </row>
    <row r="2692" spans="1:13">
      <c r="A2692">
        <v>2686</v>
      </c>
      <c r="B2692">
        <v>51378</v>
      </c>
      <c r="C2692" t="s">
        <v>5930</v>
      </c>
      <c r="D2692" t="s">
        <v>373</v>
      </c>
      <c r="E2692" t="s">
        <v>5931</v>
      </c>
      <c r="F2692" t="str">
        <f>"00295406"</f>
        <v>00295406</v>
      </c>
      <c r="G2692" t="s">
        <v>341</v>
      </c>
      <c r="H2692" t="s">
        <v>20</v>
      </c>
      <c r="I2692">
        <v>1553</v>
      </c>
      <c r="J2692" t="s">
        <v>21</v>
      </c>
      <c r="K2692">
        <v>6</v>
      </c>
      <c r="M2692">
        <v>1488</v>
      </c>
    </row>
    <row r="2693" spans="1:13">
      <c r="A2693">
        <v>2687</v>
      </c>
      <c r="B2693">
        <v>96630</v>
      </c>
      <c r="C2693" t="s">
        <v>5932</v>
      </c>
      <c r="D2693" t="s">
        <v>163</v>
      </c>
      <c r="E2693" t="s">
        <v>5933</v>
      </c>
      <c r="F2693" t="str">
        <f>"00269854"</f>
        <v>00269854</v>
      </c>
      <c r="G2693" t="s">
        <v>1160</v>
      </c>
      <c r="H2693" t="s">
        <v>20</v>
      </c>
      <c r="I2693">
        <v>1424</v>
      </c>
      <c r="J2693" t="s">
        <v>21</v>
      </c>
      <c r="K2693">
        <v>0</v>
      </c>
      <c r="L2693" t="s">
        <v>35</v>
      </c>
      <c r="M2693">
        <v>1108</v>
      </c>
    </row>
    <row r="2694" spans="1:13">
      <c r="A2694">
        <v>2688</v>
      </c>
      <c r="B2694">
        <v>105463</v>
      </c>
      <c r="C2694" t="s">
        <v>5934</v>
      </c>
      <c r="D2694" t="s">
        <v>145</v>
      </c>
      <c r="E2694" t="s">
        <v>5935</v>
      </c>
      <c r="F2694" t="str">
        <f>"00402310"</f>
        <v>00402310</v>
      </c>
      <c r="G2694" t="s">
        <v>1203</v>
      </c>
      <c r="H2694" t="s">
        <v>20</v>
      </c>
      <c r="I2694">
        <v>1443</v>
      </c>
      <c r="J2694" t="s">
        <v>21</v>
      </c>
      <c r="K2694">
        <v>0</v>
      </c>
      <c r="M2694">
        <v>1468</v>
      </c>
    </row>
    <row r="2695" spans="1:13">
      <c r="A2695">
        <v>2689</v>
      </c>
      <c r="B2695">
        <v>49961</v>
      </c>
      <c r="C2695" t="s">
        <v>5936</v>
      </c>
      <c r="D2695" t="s">
        <v>334</v>
      </c>
      <c r="E2695" t="s">
        <v>5937</v>
      </c>
      <c r="F2695" t="str">
        <f>"00373489"</f>
        <v>00373489</v>
      </c>
      <c r="G2695" t="s">
        <v>107</v>
      </c>
      <c r="H2695" t="s">
        <v>20</v>
      </c>
      <c r="I2695">
        <v>1472</v>
      </c>
      <c r="J2695" t="s">
        <v>21</v>
      </c>
      <c r="K2695">
        <v>0</v>
      </c>
      <c r="L2695" t="s">
        <v>59</v>
      </c>
      <c r="M2695">
        <v>1024</v>
      </c>
    </row>
    <row r="2696" spans="1:13">
      <c r="A2696">
        <v>2690</v>
      </c>
      <c r="B2696">
        <v>57863</v>
      </c>
      <c r="C2696" t="s">
        <v>5938</v>
      </c>
      <c r="D2696" t="s">
        <v>2350</v>
      </c>
      <c r="E2696" t="s">
        <v>5939</v>
      </c>
      <c r="F2696" t="str">
        <f>"201507004563"</f>
        <v>201507004563</v>
      </c>
      <c r="G2696" t="s">
        <v>718</v>
      </c>
      <c r="H2696" t="s">
        <v>48</v>
      </c>
      <c r="I2696">
        <v>1625</v>
      </c>
      <c r="J2696" t="s">
        <v>21</v>
      </c>
      <c r="K2696">
        <v>0</v>
      </c>
      <c r="L2696" t="s">
        <v>112</v>
      </c>
      <c r="M2696">
        <v>950</v>
      </c>
    </row>
    <row r="2697" spans="1:13">
      <c r="A2697">
        <v>2691</v>
      </c>
      <c r="B2697">
        <v>49235</v>
      </c>
      <c r="C2697" t="s">
        <v>5940</v>
      </c>
      <c r="D2697" t="s">
        <v>109</v>
      </c>
      <c r="E2697" t="s">
        <v>5941</v>
      </c>
      <c r="F2697" t="str">
        <f>"00370891"</f>
        <v>00370891</v>
      </c>
      <c r="G2697" t="s">
        <v>2369</v>
      </c>
      <c r="H2697" t="s">
        <v>241</v>
      </c>
      <c r="I2697">
        <v>1364</v>
      </c>
      <c r="J2697" t="s">
        <v>21</v>
      </c>
      <c r="K2697">
        <v>6</v>
      </c>
      <c r="M2697">
        <v>1428</v>
      </c>
    </row>
    <row r="2698" spans="1:13">
      <c r="A2698">
        <v>2692</v>
      </c>
      <c r="B2698">
        <v>45997</v>
      </c>
      <c r="C2698" t="s">
        <v>5942</v>
      </c>
      <c r="D2698" t="s">
        <v>102</v>
      </c>
      <c r="E2698" t="s">
        <v>5943</v>
      </c>
      <c r="F2698" t="str">
        <f>"00341491"</f>
        <v>00341491</v>
      </c>
      <c r="G2698" t="s">
        <v>1239</v>
      </c>
      <c r="H2698" t="s">
        <v>1240</v>
      </c>
      <c r="I2698">
        <v>1368</v>
      </c>
      <c r="J2698" t="s">
        <v>21</v>
      </c>
      <c r="K2698">
        <v>0</v>
      </c>
      <c r="L2698" t="s">
        <v>35</v>
      </c>
      <c r="M2698">
        <v>1441</v>
      </c>
    </row>
    <row r="2699" spans="1:13">
      <c r="A2699">
        <v>2693</v>
      </c>
      <c r="B2699">
        <v>66818</v>
      </c>
      <c r="C2699" t="s">
        <v>5944</v>
      </c>
      <c r="D2699" t="s">
        <v>180</v>
      </c>
      <c r="E2699" t="s">
        <v>5945</v>
      </c>
      <c r="F2699" t="str">
        <f>"00250053"</f>
        <v>00250053</v>
      </c>
      <c r="G2699" t="s">
        <v>763</v>
      </c>
      <c r="H2699" t="s">
        <v>20</v>
      </c>
      <c r="I2699">
        <v>1430</v>
      </c>
      <c r="J2699" t="s">
        <v>21</v>
      </c>
      <c r="K2699">
        <v>0</v>
      </c>
      <c r="M2699">
        <v>1528</v>
      </c>
    </row>
    <row r="2700" spans="1:13">
      <c r="A2700">
        <v>2694</v>
      </c>
      <c r="B2700">
        <v>105266</v>
      </c>
      <c r="C2700" t="s">
        <v>5946</v>
      </c>
      <c r="D2700" t="s">
        <v>153</v>
      </c>
      <c r="E2700" t="s">
        <v>5947</v>
      </c>
      <c r="F2700" t="str">
        <f>"00265980"</f>
        <v>00265980</v>
      </c>
      <c r="G2700" t="s">
        <v>344</v>
      </c>
      <c r="H2700" t="s">
        <v>137</v>
      </c>
      <c r="I2700">
        <v>1614</v>
      </c>
      <c r="J2700" t="s">
        <v>21</v>
      </c>
      <c r="K2700">
        <v>0</v>
      </c>
      <c r="M2700">
        <v>1388</v>
      </c>
    </row>
    <row r="2701" spans="1:13">
      <c r="A2701">
        <v>2695</v>
      </c>
      <c r="B2701">
        <v>54330</v>
      </c>
      <c r="C2701" t="s">
        <v>5948</v>
      </c>
      <c r="D2701" t="s">
        <v>5949</v>
      </c>
      <c r="E2701" t="s">
        <v>5950</v>
      </c>
      <c r="F2701" t="str">
        <f>"201512001662"</f>
        <v>201512001662</v>
      </c>
      <c r="G2701" t="s">
        <v>47</v>
      </c>
      <c r="H2701" t="s">
        <v>48</v>
      </c>
      <c r="I2701">
        <v>1623</v>
      </c>
      <c r="J2701" t="s">
        <v>21</v>
      </c>
      <c r="K2701">
        <v>0</v>
      </c>
      <c r="L2701" t="s">
        <v>35</v>
      </c>
      <c r="M2701">
        <v>1075</v>
      </c>
    </row>
    <row r="2702" spans="1:13">
      <c r="A2702">
        <v>2696</v>
      </c>
      <c r="B2702">
        <v>98574</v>
      </c>
      <c r="C2702" t="s">
        <v>5951</v>
      </c>
      <c r="D2702" t="s">
        <v>334</v>
      </c>
      <c r="E2702" t="s">
        <v>5952</v>
      </c>
      <c r="F2702" t="str">
        <f>"00300964"</f>
        <v>00300964</v>
      </c>
      <c r="G2702" t="s">
        <v>47</v>
      </c>
      <c r="H2702" t="s">
        <v>48</v>
      </c>
      <c r="I2702">
        <v>1623</v>
      </c>
      <c r="J2702" t="s">
        <v>21</v>
      </c>
      <c r="K2702">
        <v>0</v>
      </c>
      <c r="L2702" t="s">
        <v>88</v>
      </c>
      <c r="M2702">
        <v>550</v>
      </c>
    </row>
    <row r="2703" spans="1:13">
      <c r="A2703">
        <v>2697</v>
      </c>
      <c r="B2703">
        <v>105925</v>
      </c>
      <c r="C2703" t="s">
        <v>5953</v>
      </c>
      <c r="D2703" t="s">
        <v>566</v>
      </c>
      <c r="E2703" t="s">
        <v>5954</v>
      </c>
      <c r="F2703" t="str">
        <f>"00396456"</f>
        <v>00396456</v>
      </c>
      <c r="G2703" t="s">
        <v>2081</v>
      </c>
      <c r="H2703" t="s">
        <v>20</v>
      </c>
      <c r="I2703">
        <v>1417</v>
      </c>
      <c r="J2703" t="s">
        <v>21</v>
      </c>
      <c r="K2703">
        <v>0</v>
      </c>
      <c r="M2703">
        <v>1458</v>
      </c>
    </row>
    <row r="2704" spans="1:13">
      <c r="A2704">
        <v>2698</v>
      </c>
      <c r="B2704">
        <v>95958</v>
      </c>
      <c r="C2704" t="s">
        <v>5955</v>
      </c>
      <c r="D2704" t="s">
        <v>109</v>
      </c>
      <c r="E2704" t="s">
        <v>5956</v>
      </c>
      <c r="F2704" t="str">
        <f>"00052179"</f>
        <v>00052179</v>
      </c>
      <c r="G2704" t="s">
        <v>465</v>
      </c>
      <c r="H2704" t="s">
        <v>20</v>
      </c>
      <c r="I2704">
        <v>1534</v>
      </c>
      <c r="J2704" t="s">
        <v>21</v>
      </c>
      <c r="K2704">
        <v>0</v>
      </c>
      <c r="M2704">
        <v>1778</v>
      </c>
    </row>
    <row r="2705" spans="1:13">
      <c r="A2705">
        <v>2699</v>
      </c>
      <c r="B2705">
        <v>61069</v>
      </c>
      <c r="C2705" t="s">
        <v>5957</v>
      </c>
      <c r="D2705" t="s">
        <v>76</v>
      </c>
      <c r="E2705" t="s">
        <v>5958</v>
      </c>
      <c r="F2705" t="str">
        <f>"00328891"</f>
        <v>00328891</v>
      </c>
      <c r="G2705" t="s">
        <v>3395</v>
      </c>
      <c r="H2705" t="s">
        <v>20</v>
      </c>
      <c r="I2705">
        <v>1537</v>
      </c>
      <c r="J2705" t="s">
        <v>21</v>
      </c>
      <c r="K2705">
        <v>6</v>
      </c>
      <c r="M2705">
        <v>1028</v>
      </c>
    </row>
    <row r="2706" spans="1:13">
      <c r="A2706">
        <v>2700</v>
      </c>
      <c r="B2706">
        <v>73757</v>
      </c>
      <c r="C2706" t="s">
        <v>5959</v>
      </c>
      <c r="D2706" t="s">
        <v>334</v>
      </c>
      <c r="E2706" t="s">
        <v>5960</v>
      </c>
      <c r="F2706" t="str">
        <f>"00370088"</f>
        <v>00370088</v>
      </c>
      <c r="G2706" t="s">
        <v>4375</v>
      </c>
      <c r="H2706" t="s">
        <v>274</v>
      </c>
      <c r="I2706">
        <v>1396</v>
      </c>
      <c r="J2706" t="s">
        <v>21</v>
      </c>
      <c r="K2706">
        <v>0</v>
      </c>
      <c r="M2706">
        <v>1438</v>
      </c>
    </row>
    <row r="2707" spans="1:13">
      <c r="A2707">
        <v>2701</v>
      </c>
      <c r="B2707">
        <v>57274</v>
      </c>
      <c r="C2707" t="s">
        <v>5961</v>
      </c>
      <c r="D2707" t="s">
        <v>76</v>
      </c>
      <c r="E2707" t="s">
        <v>5962</v>
      </c>
      <c r="F2707" t="str">
        <f>"00358935"</f>
        <v>00358935</v>
      </c>
      <c r="G2707" t="s">
        <v>527</v>
      </c>
      <c r="H2707" t="s">
        <v>20</v>
      </c>
      <c r="I2707">
        <v>1568</v>
      </c>
      <c r="J2707" t="s">
        <v>21</v>
      </c>
      <c r="K2707">
        <v>0</v>
      </c>
      <c r="L2707" t="s">
        <v>35</v>
      </c>
      <c r="M2707">
        <v>960</v>
      </c>
    </row>
    <row r="2708" spans="1:13">
      <c r="A2708">
        <v>2702</v>
      </c>
      <c r="B2708">
        <v>95604</v>
      </c>
      <c r="C2708" t="s">
        <v>5963</v>
      </c>
      <c r="D2708" t="s">
        <v>180</v>
      </c>
      <c r="E2708" t="s">
        <v>5964</v>
      </c>
      <c r="F2708" t="str">
        <f>"201604006273"</f>
        <v>201604006273</v>
      </c>
      <c r="G2708" t="s">
        <v>1005</v>
      </c>
      <c r="H2708" t="s">
        <v>216</v>
      </c>
      <c r="I2708">
        <v>1710</v>
      </c>
      <c r="J2708" t="s">
        <v>21</v>
      </c>
      <c r="K2708">
        <v>6</v>
      </c>
      <c r="M2708">
        <v>1388</v>
      </c>
    </row>
    <row r="2709" spans="1:13">
      <c r="A2709">
        <v>2703</v>
      </c>
      <c r="B2709">
        <v>102292</v>
      </c>
      <c r="C2709" t="s">
        <v>5965</v>
      </c>
      <c r="D2709" t="s">
        <v>1385</v>
      </c>
      <c r="E2709" t="s">
        <v>5966</v>
      </c>
      <c r="F2709" t="str">
        <f>"00383075"</f>
        <v>00383075</v>
      </c>
      <c r="G2709" t="s">
        <v>87</v>
      </c>
      <c r="H2709" t="s">
        <v>20</v>
      </c>
      <c r="I2709">
        <v>1436</v>
      </c>
      <c r="J2709" t="s">
        <v>21</v>
      </c>
      <c r="K2709">
        <v>0</v>
      </c>
      <c r="M2709">
        <v>1328</v>
      </c>
    </row>
    <row r="2710" spans="1:13">
      <c r="A2710">
        <v>2704</v>
      </c>
      <c r="B2710">
        <v>48271</v>
      </c>
      <c r="C2710" t="s">
        <v>5967</v>
      </c>
      <c r="D2710" t="s">
        <v>139</v>
      </c>
      <c r="E2710" t="s">
        <v>5968</v>
      </c>
      <c r="F2710" t="str">
        <f>"00365362"</f>
        <v>00365362</v>
      </c>
      <c r="G2710" t="s">
        <v>87</v>
      </c>
      <c r="H2710" t="s">
        <v>20</v>
      </c>
      <c r="I2710">
        <v>1436</v>
      </c>
      <c r="J2710" t="s">
        <v>21</v>
      </c>
      <c r="K2710">
        <v>0</v>
      </c>
      <c r="L2710" t="s">
        <v>35</v>
      </c>
      <c r="M2710">
        <v>875</v>
      </c>
    </row>
    <row r="2711" spans="1:13">
      <c r="A2711">
        <v>2705</v>
      </c>
      <c r="B2711">
        <v>65040</v>
      </c>
      <c r="C2711" t="s">
        <v>5969</v>
      </c>
      <c r="D2711" t="s">
        <v>180</v>
      </c>
      <c r="E2711" t="s">
        <v>5970</v>
      </c>
      <c r="F2711" t="str">
        <f>"00329648"</f>
        <v>00329648</v>
      </c>
      <c r="G2711" t="s">
        <v>47</v>
      </c>
      <c r="H2711" t="s">
        <v>48</v>
      </c>
      <c r="I2711">
        <v>1623</v>
      </c>
      <c r="J2711" t="s">
        <v>21</v>
      </c>
      <c r="K2711">
        <v>0</v>
      </c>
      <c r="L2711" t="s">
        <v>88</v>
      </c>
      <c r="M2711">
        <v>608</v>
      </c>
    </row>
    <row r="2712" spans="1:13">
      <c r="A2712">
        <v>2706</v>
      </c>
      <c r="B2712">
        <v>61407</v>
      </c>
      <c r="C2712" t="s">
        <v>5971</v>
      </c>
      <c r="D2712" t="s">
        <v>5972</v>
      </c>
      <c r="E2712" t="s">
        <v>5973</v>
      </c>
      <c r="F2712" t="str">
        <f>"00253827"</f>
        <v>00253827</v>
      </c>
      <c r="G2712" t="s">
        <v>332</v>
      </c>
      <c r="H2712" t="s">
        <v>270</v>
      </c>
      <c r="I2712">
        <v>1631</v>
      </c>
      <c r="J2712" t="s">
        <v>21</v>
      </c>
      <c r="K2712">
        <v>6</v>
      </c>
      <c r="L2712" t="s">
        <v>35</v>
      </c>
      <c r="M2712">
        <v>1021</v>
      </c>
    </row>
    <row r="2713" spans="1:13">
      <c r="A2713">
        <v>2707</v>
      </c>
      <c r="B2713">
        <v>117095</v>
      </c>
      <c r="C2713" t="s">
        <v>5974</v>
      </c>
      <c r="D2713" t="s">
        <v>130</v>
      </c>
      <c r="E2713" t="s">
        <v>5975</v>
      </c>
      <c r="F2713" t="str">
        <f>"00401921"</f>
        <v>00401921</v>
      </c>
      <c r="G2713" t="s">
        <v>47</v>
      </c>
      <c r="H2713" t="s">
        <v>48</v>
      </c>
      <c r="I2713">
        <v>1623</v>
      </c>
      <c r="J2713" t="s">
        <v>21</v>
      </c>
      <c r="K2713">
        <v>0</v>
      </c>
      <c r="M2713">
        <v>1478</v>
      </c>
    </row>
    <row r="2714" spans="1:13">
      <c r="A2714">
        <v>2708</v>
      </c>
      <c r="B2714">
        <v>98806</v>
      </c>
      <c r="C2714" t="s">
        <v>5976</v>
      </c>
      <c r="D2714" t="s">
        <v>209</v>
      </c>
      <c r="E2714" t="s">
        <v>5977</v>
      </c>
      <c r="F2714" t="str">
        <f>"00371800"</f>
        <v>00371800</v>
      </c>
      <c r="G2714" t="s">
        <v>38</v>
      </c>
      <c r="H2714" t="s">
        <v>39</v>
      </c>
      <c r="I2714">
        <v>1634</v>
      </c>
      <c r="J2714" t="s">
        <v>21</v>
      </c>
      <c r="K2714">
        <v>6</v>
      </c>
      <c r="L2714" t="s">
        <v>35</v>
      </c>
      <c r="M2714">
        <v>608</v>
      </c>
    </row>
    <row r="2715" spans="1:13">
      <c r="A2715">
        <v>2709</v>
      </c>
      <c r="B2715">
        <v>97381</v>
      </c>
      <c r="C2715" t="s">
        <v>5978</v>
      </c>
      <c r="D2715" t="s">
        <v>98</v>
      </c>
      <c r="E2715" t="s">
        <v>5979</v>
      </c>
      <c r="F2715" t="str">
        <f>"00368295"</f>
        <v>00368295</v>
      </c>
      <c r="G2715" t="s">
        <v>38</v>
      </c>
      <c r="H2715" t="s">
        <v>39</v>
      </c>
      <c r="I2715">
        <v>1634</v>
      </c>
      <c r="J2715" t="s">
        <v>21</v>
      </c>
      <c r="K2715">
        <v>6</v>
      </c>
      <c r="M2715">
        <v>1128</v>
      </c>
    </row>
    <row r="2716" spans="1:13">
      <c r="A2716">
        <v>2710</v>
      </c>
      <c r="B2716">
        <v>74537</v>
      </c>
      <c r="C2716" t="s">
        <v>5980</v>
      </c>
      <c r="D2716" t="s">
        <v>213</v>
      </c>
      <c r="E2716" t="s">
        <v>5981</v>
      </c>
      <c r="F2716" t="str">
        <f>"201406015877"</f>
        <v>201406015877</v>
      </c>
      <c r="G2716" t="s">
        <v>47</v>
      </c>
      <c r="H2716" t="s">
        <v>48</v>
      </c>
      <c r="I2716">
        <v>1623</v>
      </c>
      <c r="J2716" t="s">
        <v>21</v>
      </c>
      <c r="K2716">
        <v>0</v>
      </c>
      <c r="L2716" t="s">
        <v>88</v>
      </c>
      <c r="M2716">
        <v>500</v>
      </c>
    </row>
    <row r="2717" spans="1:13">
      <c r="A2717">
        <v>2711</v>
      </c>
      <c r="B2717">
        <v>76800</v>
      </c>
      <c r="C2717" t="s">
        <v>5982</v>
      </c>
      <c r="D2717" t="s">
        <v>80</v>
      </c>
      <c r="E2717" t="s">
        <v>5983</v>
      </c>
      <c r="F2717" t="str">
        <f>"00366038"</f>
        <v>00366038</v>
      </c>
      <c r="G2717" t="s">
        <v>111</v>
      </c>
      <c r="H2717" t="s">
        <v>48</v>
      </c>
      <c r="I2717">
        <v>1620</v>
      </c>
      <c r="J2717" t="s">
        <v>21</v>
      </c>
      <c r="K2717">
        <v>0</v>
      </c>
      <c r="L2717" t="s">
        <v>88</v>
      </c>
      <c r="M2717">
        <v>556</v>
      </c>
    </row>
    <row r="2718" spans="1:13">
      <c r="A2718">
        <v>2712</v>
      </c>
      <c r="B2718">
        <v>83754</v>
      </c>
      <c r="C2718" t="s">
        <v>5984</v>
      </c>
      <c r="D2718" t="s">
        <v>80</v>
      </c>
      <c r="E2718" t="s">
        <v>5985</v>
      </c>
      <c r="F2718" t="str">
        <f>"00386641"</f>
        <v>00386641</v>
      </c>
      <c r="G2718" t="s">
        <v>760</v>
      </c>
      <c r="H2718" t="s">
        <v>20</v>
      </c>
      <c r="I2718">
        <v>1432</v>
      </c>
      <c r="J2718" t="s">
        <v>21</v>
      </c>
      <c r="K2718">
        <v>0</v>
      </c>
      <c r="L2718" t="s">
        <v>59</v>
      </c>
      <c r="M2718">
        <v>1023</v>
      </c>
    </row>
    <row r="2719" spans="1:13">
      <c r="A2719">
        <v>2713</v>
      </c>
      <c r="B2719">
        <v>54612</v>
      </c>
      <c r="C2719" t="s">
        <v>5986</v>
      </c>
      <c r="D2719" t="s">
        <v>90</v>
      </c>
      <c r="E2719" t="s">
        <v>5987</v>
      </c>
      <c r="F2719" t="str">
        <f>"00367828"</f>
        <v>00367828</v>
      </c>
      <c r="G2719" t="s">
        <v>255</v>
      </c>
      <c r="H2719" t="s">
        <v>20</v>
      </c>
      <c r="I2719">
        <v>1513</v>
      </c>
      <c r="J2719" t="s">
        <v>21</v>
      </c>
      <c r="K2719">
        <v>6</v>
      </c>
      <c r="M2719">
        <v>1628</v>
      </c>
    </row>
    <row r="2720" spans="1:13">
      <c r="A2720">
        <v>2714</v>
      </c>
      <c r="B2720">
        <v>103309</v>
      </c>
      <c r="C2720" t="s">
        <v>5988</v>
      </c>
      <c r="D2720" t="s">
        <v>198</v>
      </c>
      <c r="E2720" t="s">
        <v>5989</v>
      </c>
      <c r="F2720" t="str">
        <f>"00407026"</f>
        <v>00407026</v>
      </c>
      <c r="G2720" t="s">
        <v>1595</v>
      </c>
      <c r="H2720" t="s">
        <v>20</v>
      </c>
      <c r="I2720">
        <v>1538</v>
      </c>
      <c r="J2720" t="s">
        <v>21</v>
      </c>
      <c r="K2720">
        <v>6</v>
      </c>
      <c r="L2720" t="s">
        <v>83</v>
      </c>
      <c r="M2720">
        <v>793</v>
      </c>
    </row>
    <row r="2721" spans="1:13">
      <c r="A2721">
        <v>2715</v>
      </c>
      <c r="B2721">
        <v>56082</v>
      </c>
      <c r="C2721" t="s">
        <v>5990</v>
      </c>
      <c r="D2721" t="s">
        <v>5991</v>
      </c>
      <c r="E2721" t="s">
        <v>5992</v>
      </c>
      <c r="F2721" t="str">
        <f>"00250420"</f>
        <v>00250420</v>
      </c>
      <c r="G2721" t="s">
        <v>371</v>
      </c>
      <c r="H2721" t="s">
        <v>20</v>
      </c>
      <c r="I2721">
        <v>1526</v>
      </c>
      <c r="J2721" t="s">
        <v>21</v>
      </c>
      <c r="K2721">
        <v>6</v>
      </c>
      <c r="M2721">
        <v>988</v>
      </c>
    </row>
    <row r="2722" spans="1:13">
      <c r="A2722">
        <v>2716</v>
      </c>
      <c r="B2722">
        <v>105866</v>
      </c>
      <c r="C2722" t="s">
        <v>5993</v>
      </c>
      <c r="D2722" t="s">
        <v>76</v>
      </c>
      <c r="E2722" t="s">
        <v>5994</v>
      </c>
      <c r="F2722" t="str">
        <f>"00375018"</f>
        <v>00375018</v>
      </c>
      <c r="G2722" t="s">
        <v>258</v>
      </c>
      <c r="H2722" t="s">
        <v>20</v>
      </c>
      <c r="I2722">
        <v>1484</v>
      </c>
      <c r="J2722" t="s">
        <v>21</v>
      </c>
      <c r="K2722">
        <v>0</v>
      </c>
      <c r="L2722" t="s">
        <v>88</v>
      </c>
      <c r="M2722">
        <v>502</v>
      </c>
    </row>
    <row r="2723" spans="1:13">
      <c r="A2723">
        <v>2717</v>
      </c>
      <c r="B2723">
        <v>88778</v>
      </c>
      <c r="C2723" t="s">
        <v>5995</v>
      </c>
      <c r="D2723" t="s">
        <v>90</v>
      </c>
      <c r="E2723" t="s">
        <v>5996</v>
      </c>
      <c r="F2723" t="str">
        <f>"201402008142"</f>
        <v>201402008142</v>
      </c>
      <c r="G2723" t="s">
        <v>583</v>
      </c>
      <c r="H2723" t="s">
        <v>137</v>
      </c>
      <c r="I2723">
        <v>1601</v>
      </c>
      <c r="J2723" t="s">
        <v>21</v>
      </c>
      <c r="K2723">
        <v>0</v>
      </c>
      <c r="M2723">
        <v>1488</v>
      </c>
    </row>
    <row r="2724" spans="1:13">
      <c r="A2724">
        <v>2718</v>
      </c>
      <c r="B2724">
        <v>49172</v>
      </c>
      <c r="C2724" t="s">
        <v>5997</v>
      </c>
      <c r="D2724" t="s">
        <v>180</v>
      </c>
      <c r="E2724" t="s">
        <v>5998</v>
      </c>
      <c r="F2724" t="str">
        <f>"00348803"</f>
        <v>00348803</v>
      </c>
      <c r="G2724" t="s">
        <v>883</v>
      </c>
      <c r="H2724" t="s">
        <v>270</v>
      </c>
      <c r="I2724">
        <v>1585</v>
      </c>
      <c r="J2724" t="s">
        <v>21</v>
      </c>
      <c r="K2724">
        <v>0</v>
      </c>
      <c r="L2724" t="s">
        <v>59</v>
      </c>
      <c r="M2724">
        <v>804</v>
      </c>
    </row>
    <row r="2725" spans="1:13">
      <c r="A2725">
        <v>2719</v>
      </c>
      <c r="B2725">
        <v>87283</v>
      </c>
      <c r="C2725" t="s">
        <v>5999</v>
      </c>
      <c r="D2725" t="s">
        <v>105</v>
      </c>
      <c r="E2725" t="s">
        <v>6000</v>
      </c>
      <c r="F2725" t="str">
        <f>"00375794"</f>
        <v>00375794</v>
      </c>
      <c r="G2725" t="s">
        <v>111</v>
      </c>
      <c r="H2725" t="s">
        <v>48</v>
      </c>
      <c r="I2725">
        <v>1620</v>
      </c>
      <c r="J2725" t="s">
        <v>21</v>
      </c>
      <c r="K2725">
        <v>0</v>
      </c>
      <c r="L2725" t="s">
        <v>35</v>
      </c>
      <c r="M2725">
        <v>883</v>
      </c>
    </row>
    <row r="2726" spans="1:13">
      <c r="A2726">
        <v>2720</v>
      </c>
      <c r="B2726">
        <v>98335</v>
      </c>
      <c r="C2726" t="s">
        <v>6001</v>
      </c>
      <c r="D2726" t="s">
        <v>243</v>
      </c>
      <c r="E2726" t="s">
        <v>6002</v>
      </c>
      <c r="F2726" t="str">
        <f>"00336621"</f>
        <v>00336621</v>
      </c>
      <c r="G2726" t="s">
        <v>226</v>
      </c>
      <c r="H2726" t="s">
        <v>20</v>
      </c>
      <c r="I2726">
        <v>1510</v>
      </c>
      <c r="J2726" t="s">
        <v>21</v>
      </c>
      <c r="K2726">
        <v>0</v>
      </c>
      <c r="L2726" t="s">
        <v>88</v>
      </c>
      <c r="M2726">
        <v>523</v>
      </c>
    </row>
    <row r="2727" spans="1:13">
      <c r="A2727">
        <v>2721</v>
      </c>
      <c r="B2727">
        <v>110561</v>
      </c>
      <c r="C2727" t="s">
        <v>6003</v>
      </c>
      <c r="D2727" t="s">
        <v>213</v>
      </c>
      <c r="E2727" t="s">
        <v>6004</v>
      </c>
      <c r="F2727" t="str">
        <f>"00181431"</f>
        <v>00181431</v>
      </c>
      <c r="G2727" t="s">
        <v>488</v>
      </c>
      <c r="H2727" t="s">
        <v>20</v>
      </c>
      <c r="I2727">
        <v>1482</v>
      </c>
      <c r="J2727" t="s">
        <v>21</v>
      </c>
      <c r="K2727">
        <v>0</v>
      </c>
      <c r="L2727" t="s">
        <v>83</v>
      </c>
      <c r="M2727">
        <v>1238</v>
      </c>
    </row>
    <row r="2728" spans="1:13">
      <c r="A2728">
        <v>2722</v>
      </c>
      <c r="B2728">
        <v>53538</v>
      </c>
      <c r="C2728" t="s">
        <v>6005</v>
      </c>
      <c r="D2728" t="s">
        <v>243</v>
      </c>
      <c r="E2728" t="s">
        <v>6006</v>
      </c>
      <c r="F2728" t="str">
        <f>"201012000178"</f>
        <v>201012000178</v>
      </c>
      <c r="G2728" t="s">
        <v>2855</v>
      </c>
      <c r="H2728" t="s">
        <v>20</v>
      </c>
      <c r="I2728">
        <v>1561</v>
      </c>
      <c r="J2728" t="s">
        <v>21</v>
      </c>
      <c r="K2728">
        <v>6</v>
      </c>
      <c r="L2728" t="s">
        <v>35</v>
      </c>
      <c r="M2728">
        <v>508</v>
      </c>
    </row>
    <row r="2729" spans="1:13">
      <c r="A2729">
        <v>2723</v>
      </c>
      <c r="B2729">
        <v>71813</v>
      </c>
      <c r="C2729" t="s">
        <v>6007</v>
      </c>
      <c r="D2729" t="s">
        <v>180</v>
      </c>
      <c r="E2729" t="s">
        <v>6008</v>
      </c>
      <c r="F2729" t="str">
        <f>"00410685"</f>
        <v>00410685</v>
      </c>
      <c r="G2729" t="s">
        <v>211</v>
      </c>
      <c r="H2729" t="s">
        <v>48</v>
      </c>
      <c r="I2729">
        <v>1628</v>
      </c>
      <c r="J2729" t="s">
        <v>21</v>
      </c>
      <c r="K2729">
        <v>0</v>
      </c>
      <c r="M2729">
        <v>1488</v>
      </c>
    </row>
    <row r="2730" spans="1:13">
      <c r="A2730">
        <v>2724</v>
      </c>
      <c r="B2730">
        <v>46898</v>
      </c>
      <c r="C2730" t="s">
        <v>6009</v>
      </c>
      <c r="D2730" t="s">
        <v>105</v>
      </c>
      <c r="E2730" t="s">
        <v>6010</v>
      </c>
      <c r="F2730" t="str">
        <f>"00313362"</f>
        <v>00313362</v>
      </c>
      <c r="G2730" t="s">
        <v>997</v>
      </c>
      <c r="H2730" t="s">
        <v>20</v>
      </c>
      <c r="I2730">
        <v>1502</v>
      </c>
      <c r="J2730" t="s">
        <v>21</v>
      </c>
      <c r="K2730">
        <v>0</v>
      </c>
      <c r="L2730" t="s">
        <v>35</v>
      </c>
      <c r="M2730">
        <v>1108</v>
      </c>
    </row>
    <row r="2731" spans="1:13">
      <c r="A2731">
        <v>2725</v>
      </c>
      <c r="B2731">
        <v>101117</v>
      </c>
      <c r="C2731" t="s">
        <v>6011</v>
      </c>
      <c r="D2731" t="s">
        <v>121</v>
      </c>
      <c r="E2731" t="s">
        <v>6012</v>
      </c>
      <c r="F2731" t="str">
        <f>"00405250"</f>
        <v>00405250</v>
      </c>
      <c r="G2731" t="s">
        <v>147</v>
      </c>
      <c r="H2731" t="s">
        <v>20</v>
      </c>
      <c r="I2731">
        <v>1529</v>
      </c>
      <c r="J2731" t="s">
        <v>21</v>
      </c>
      <c r="K2731">
        <v>0</v>
      </c>
      <c r="L2731" t="s">
        <v>112</v>
      </c>
      <c r="M2731">
        <v>811</v>
      </c>
    </row>
    <row r="2732" spans="1:13">
      <c r="A2732">
        <v>2726</v>
      </c>
      <c r="B2732">
        <v>89043</v>
      </c>
      <c r="C2732" t="s">
        <v>6013</v>
      </c>
      <c r="D2732" t="s">
        <v>2446</v>
      </c>
      <c r="E2732" t="s">
        <v>6014</v>
      </c>
      <c r="F2732" t="str">
        <f>"00381060"</f>
        <v>00381060</v>
      </c>
      <c r="G2732" t="s">
        <v>1602</v>
      </c>
      <c r="H2732" t="s">
        <v>20</v>
      </c>
      <c r="I2732">
        <v>1427</v>
      </c>
      <c r="J2732" t="s">
        <v>21</v>
      </c>
      <c r="K2732">
        <v>7</v>
      </c>
      <c r="L2732" t="s">
        <v>35</v>
      </c>
      <c r="M2732">
        <v>906</v>
      </c>
    </row>
    <row r="2733" spans="1:13">
      <c r="A2733">
        <v>2727</v>
      </c>
      <c r="B2733">
        <v>56083</v>
      </c>
      <c r="C2733" t="s">
        <v>6015</v>
      </c>
      <c r="D2733" t="s">
        <v>5991</v>
      </c>
      <c r="E2733" t="s">
        <v>6016</v>
      </c>
      <c r="F2733" t="str">
        <f>"00251064"</f>
        <v>00251064</v>
      </c>
      <c r="G2733" t="s">
        <v>38</v>
      </c>
      <c r="H2733" t="s">
        <v>39</v>
      </c>
      <c r="I2733">
        <v>1634</v>
      </c>
      <c r="J2733" t="s">
        <v>21</v>
      </c>
      <c r="K2733">
        <v>6</v>
      </c>
      <c r="M2733">
        <v>1188</v>
      </c>
    </row>
    <row r="2734" spans="1:13">
      <c r="A2734">
        <v>2728</v>
      </c>
      <c r="B2734">
        <v>106920</v>
      </c>
      <c r="C2734" t="s">
        <v>6017</v>
      </c>
      <c r="D2734" t="s">
        <v>105</v>
      </c>
      <c r="E2734" t="s">
        <v>6018</v>
      </c>
      <c r="F2734" t="str">
        <f>"00079496"</f>
        <v>00079496</v>
      </c>
      <c r="G2734" t="s">
        <v>1595</v>
      </c>
      <c r="H2734" t="s">
        <v>20</v>
      </c>
      <c r="I2734">
        <v>1538</v>
      </c>
      <c r="J2734" t="s">
        <v>21</v>
      </c>
      <c r="K2734">
        <v>6</v>
      </c>
      <c r="L2734" t="s">
        <v>35</v>
      </c>
      <c r="M2734">
        <v>708</v>
      </c>
    </row>
    <row r="2735" spans="1:13">
      <c r="A2735">
        <v>2729</v>
      </c>
      <c r="B2735">
        <v>98031</v>
      </c>
      <c r="C2735" t="s">
        <v>6019</v>
      </c>
      <c r="D2735" t="s">
        <v>334</v>
      </c>
      <c r="E2735" t="s">
        <v>6020</v>
      </c>
      <c r="F2735" t="str">
        <f>"00387972"</f>
        <v>00387972</v>
      </c>
      <c r="G2735" t="s">
        <v>1404</v>
      </c>
      <c r="H2735" t="s">
        <v>20</v>
      </c>
      <c r="I2735">
        <v>1414</v>
      </c>
      <c r="J2735" t="s">
        <v>21</v>
      </c>
      <c r="K2735">
        <v>0</v>
      </c>
      <c r="L2735" t="s">
        <v>35</v>
      </c>
      <c r="M2735">
        <v>1100</v>
      </c>
    </row>
    <row r="2736" spans="1:13">
      <c r="A2736">
        <v>2730</v>
      </c>
      <c r="B2736">
        <v>53835</v>
      </c>
      <c r="C2736" t="s">
        <v>6021</v>
      </c>
      <c r="D2736" t="s">
        <v>334</v>
      </c>
      <c r="E2736" t="s">
        <v>6022</v>
      </c>
      <c r="F2736" t="str">
        <f>"00289229"</f>
        <v>00289229</v>
      </c>
      <c r="G2736" t="s">
        <v>610</v>
      </c>
      <c r="H2736" t="s">
        <v>20</v>
      </c>
      <c r="I2736">
        <v>1429</v>
      </c>
      <c r="J2736" t="s">
        <v>21</v>
      </c>
      <c r="K2736">
        <v>0</v>
      </c>
      <c r="L2736" t="s">
        <v>59</v>
      </c>
      <c r="M2736">
        <v>958</v>
      </c>
    </row>
    <row r="2737" spans="1:13">
      <c r="A2737">
        <v>2731</v>
      </c>
      <c r="B2737">
        <v>58634</v>
      </c>
      <c r="C2737" t="s">
        <v>6023</v>
      </c>
      <c r="D2737" t="s">
        <v>121</v>
      </c>
      <c r="E2737" t="s">
        <v>6024</v>
      </c>
      <c r="F2737" t="str">
        <f>"00383713"</f>
        <v>00383713</v>
      </c>
      <c r="G2737" t="s">
        <v>325</v>
      </c>
      <c r="H2737" t="s">
        <v>326</v>
      </c>
      <c r="I2737">
        <v>1592</v>
      </c>
      <c r="J2737" t="s">
        <v>21</v>
      </c>
      <c r="K2737">
        <v>0</v>
      </c>
      <c r="M2737">
        <v>1728</v>
      </c>
    </row>
    <row r="2738" spans="1:13">
      <c r="A2738">
        <v>2732</v>
      </c>
      <c r="B2738">
        <v>95665</v>
      </c>
      <c r="C2738" t="s">
        <v>6025</v>
      </c>
      <c r="D2738" t="s">
        <v>1474</v>
      </c>
      <c r="E2738" t="s">
        <v>6026</v>
      </c>
      <c r="F2738" t="str">
        <f>"00086140"</f>
        <v>00086140</v>
      </c>
      <c r="G2738" t="s">
        <v>78</v>
      </c>
      <c r="H2738" t="s">
        <v>20</v>
      </c>
      <c r="I2738">
        <v>1460</v>
      </c>
      <c r="J2738" t="s">
        <v>21</v>
      </c>
      <c r="K2738">
        <v>0</v>
      </c>
      <c r="L2738" t="s">
        <v>35</v>
      </c>
      <c r="M2738">
        <v>1036</v>
      </c>
    </row>
    <row r="2739" spans="1:13">
      <c r="A2739">
        <v>2733</v>
      </c>
      <c r="B2739">
        <v>106517</v>
      </c>
      <c r="C2739" t="s">
        <v>6027</v>
      </c>
      <c r="D2739" t="s">
        <v>2029</v>
      </c>
      <c r="E2739" t="s">
        <v>6028</v>
      </c>
      <c r="F2739" t="str">
        <f>"00312936"</f>
        <v>00312936</v>
      </c>
      <c r="G2739" t="s">
        <v>19</v>
      </c>
      <c r="H2739" t="s">
        <v>20</v>
      </c>
      <c r="I2739">
        <v>1531</v>
      </c>
      <c r="J2739" t="s">
        <v>21</v>
      </c>
      <c r="K2739">
        <v>0</v>
      </c>
      <c r="L2739" t="s">
        <v>59</v>
      </c>
      <c r="M2739">
        <v>1018</v>
      </c>
    </row>
    <row r="2740" spans="1:13">
      <c r="A2740">
        <v>2734</v>
      </c>
      <c r="B2740">
        <v>98555</v>
      </c>
      <c r="C2740" t="s">
        <v>6029</v>
      </c>
      <c r="D2740" t="s">
        <v>121</v>
      </c>
      <c r="E2740" t="s">
        <v>6030</v>
      </c>
      <c r="F2740" t="str">
        <f>"201511006903"</f>
        <v>201511006903</v>
      </c>
      <c r="G2740" t="s">
        <v>856</v>
      </c>
      <c r="H2740" t="s">
        <v>857</v>
      </c>
      <c r="I2740">
        <v>1661</v>
      </c>
      <c r="J2740" t="s">
        <v>21</v>
      </c>
      <c r="K2740">
        <v>0</v>
      </c>
      <c r="M2740">
        <v>1438</v>
      </c>
    </row>
    <row r="2741" spans="1:13">
      <c r="A2741">
        <v>2735</v>
      </c>
      <c r="B2741">
        <v>97165</v>
      </c>
      <c r="C2741" t="s">
        <v>6031</v>
      </c>
      <c r="D2741" t="s">
        <v>80</v>
      </c>
      <c r="E2741" t="s">
        <v>6032</v>
      </c>
      <c r="F2741" t="str">
        <f>"00393316"</f>
        <v>00393316</v>
      </c>
      <c r="G2741" t="s">
        <v>125</v>
      </c>
      <c r="H2741" t="s">
        <v>20</v>
      </c>
      <c r="I2741">
        <v>1507</v>
      </c>
      <c r="J2741" t="s">
        <v>21</v>
      </c>
      <c r="K2741">
        <v>0</v>
      </c>
      <c r="L2741" t="s">
        <v>35</v>
      </c>
      <c r="M2741">
        <v>1100</v>
      </c>
    </row>
    <row r="2742" spans="1:13">
      <c r="A2742">
        <v>2736</v>
      </c>
      <c r="B2742">
        <v>88774</v>
      </c>
      <c r="C2742" t="s">
        <v>6033</v>
      </c>
      <c r="D2742" t="s">
        <v>80</v>
      </c>
      <c r="E2742" t="s">
        <v>6034</v>
      </c>
      <c r="F2742" t="str">
        <f>"00383946"</f>
        <v>00383946</v>
      </c>
      <c r="G2742" t="s">
        <v>125</v>
      </c>
      <c r="H2742" t="s">
        <v>20</v>
      </c>
      <c r="I2742">
        <v>1507</v>
      </c>
      <c r="J2742" t="s">
        <v>21</v>
      </c>
      <c r="K2742">
        <v>0</v>
      </c>
      <c r="L2742" t="s">
        <v>35</v>
      </c>
      <c r="M2742">
        <v>1273</v>
      </c>
    </row>
    <row r="2743" spans="1:13">
      <c r="A2743">
        <v>2737</v>
      </c>
      <c r="B2743">
        <v>102657</v>
      </c>
      <c r="C2743" t="s">
        <v>6035</v>
      </c>
      <c r="D2743" t="s">
        <v>105</v>
      </c>
      <c r="E2743" t="s">
        <v>6036</v>
      </c>
      <c r="F2743" t="str">
        <f>"00248710"</f>
        <v>00248710</v>
      </c>
      <c r="G2743" t="s">
        <v>371</v>
      </c>
      <c r="H2743" t="s">
        <v>20</v>
      </c>
      <c r="I2743">
        <v>1526</v>
      </c>
      <c r="J2743" t="s">
        <v>21</v>
      </c>
      <c r="K2743">
        <v>6</v>
      </c>
      <c r="M2743">
        <v>1028</v>
      </c>
    </row>
    <row r="2744" spans="1:13">
      <c r="A2744">
        <v>2738</v>
      </c>
      <c r="B2744">
        <v>112902</v>
      </c>
      <c r="C2744" t="s">
        <v>6037</v>
      </c>
      <c r="D2744" t="s">
        <v>163</v>
      </c>
      <c r="E2744" t="s">
        <v>6038</v>
      </c>
      <c r="F2744" t="str">
        <f>"201511008571"</f>
        <v>201511008571</v>
      </c>
      <c r="G2744" t="s">
        <v>258</v>
      </c>
      <c r="H2744" t="s">
        <v>20</v>
      </c>
      <c r="I2744">
        <v>1484</v>
      </c>
      <c r="J2744" t="s">
        <v>21</v>
      </c>
      <c r="K2744">
        <v>0</v>
      </c>
      <c r="M2744">
        <v>1317</v>
      </c>
    </row>
    <row r="2745" spans="1:13">
      <c r="A2745">
        <v>2739</v>
      </c>
      <c r="B2745">
        <v>98288</v>
      </c>
      <c r="C2745" t="s">
        <v>6039</v>
      </c>
      <c r="D2745" t="s">
        <v>145</v>
      </c>
      <c r="E2745" t="s">
        <v>6040</v>
      </c>
      <c r="F2745" t="str">
        <f>"00377008"</f>
        <v>00377008</v>
      </c>
      <c r="G2745" t="s">
        <v>150</v>
      </c>
      <c r="H2745" t="s">
        <v>151</v>
      </c>
      <c r="I2745">
        <v>1699</v>
      </c>
      <c r="J2745" t="s">
        <v>21</v>
      </c>
      <c r="K2745">
        <v>0</v>
      </c>
      <c r="M2745">
        <v>1368</v>
      </c>
    </row>
    <row r="2746" spans="1:13">
      <c r="A2746">
        <v>2740</v>
      </c>
      <c r="B2746">
        <v>84455</v>
      </c>
      <c r="C2746" t="s">
        <v>6041</v>
      </c>
      <c r="D2746" t="s">
        <v>243</v>
      </c>
      <c r="E2746" t="s">
        <v>6042</v>
      </c>
      <c r="F2746" t="str">
        <f>"00025211"</f>
        <v>00025211</v>
      </c>
      <c r="G2746" t="s">
        <v>1321</v>
      </c>
      <c r="H2746" t="s">
        <v>234</v>
      </c>
      <c r="I2746">
        <v>1330</v>
      </c>
      <c r="J2746" t="s">
        <v>21</v>
      </c>
      <c r="K2746">
        <v>0</v>
      </c>
      <c r="L2746" t="s">
        <v>59</v>
      </c>
      <c r="M2746">
        <v>1228</v>
      </c>
    </row>
    <row r="2747" spans="1:13">
      <c r="A2747">
        <v>2741</v>
      </c>
      <c r="B2747">
        <v>88188</v>
      </c>
      <c r="C2747" t="s">
        <v>6043</v>
      </c>
      <c r="D2747" t="s">
        <v>180</v>
      </c>
      <c r="E2747" t="s">
        <v>6044</v>
      </c>
      <c r="F2747" t="str">
        <f>"201511016105"</f>
        <v>201511016105</v>
      </c>
      <c r="G2747" t="s">
        <v>42</v>
      </c>
      <c r="H2747" t="s">
        <v>43</v>
      </c>
      <c r="I2747">
        <v>1712</v>
      </c>
      <c r="J2747" t="s">
        <v>21</v>
      </c>
      <c r="K2747">
        <v>0</v>
      </c>
      <c r="L2747" t="s">
        <v>83</v>
      </c>
      <c r="M2747">
        <v>1388</v>
      </c>
    </row>
    <row r="2748" spans="1:13">
      <c r="A2748">
        <v>2742</v>
      </c>
      <c r="B2748">
        <v>52104</v>
      </c>
      <c r="C2748" t="s">
        <v>6045</v>
      </c>
      <c r="D2748" t="s">
        <v>105</v>
      </c>
      <c r="E2748" t="s">
        <v>6046</v>
      </c>
      <c r="F2748" t="str">
        <f>"00025578"</f>
        <v>00025578</v>
      </c>
      <c r="G2748" t="s">
        <v>47</v>
      </c>
      <c r="H2748" t="s">
        <v>48</v>
      </c>
      <c r="I2748">
        <v>1623</v>
      </c>
      <c r="J2748" t="s">
        <v>21</v>
      </c>
      <c r="K2748">
        <v>0</v>
      </c>
      <c r="M2748">
        <v>1358</v>
      </c>
    </row>
    <row r="2749" spans="1:13">
      <c r="A2749">
        <v>2743</v>
      </c>
      <c r="B2749">
        <v>68528</v>
      </c>
      <c r="C2749" t="s">
        <v>6047</v>
      </c>
      <c r="D2749" t="s">
        <v>243</v>
      </c>
      <c r="E2749" t="s">
        <v>6048</v>
      </c>
      <c r="F2749" t="str">
        <f>"00404942"</f>
        <v>00404942</v>
      </c>
      <c r="G2749" t="s">
        <v>1595</v>
      </c>
      <c r="H2749" t="s">
        <v>20</v>
      </c>
      <c r="I2749">
        <v>1538</v>
      </c>
      <c r="J2749" t="s">
        <v>21</v>
      </c>
      <c r="K2749">
        <v>6</v>
      </c>
      <c r="L2749" t="s">
        <v>35</v>
      </c>
      <c r="M2749">
        <v>800</v>
      </c>
    </row>
    <row r="2750" spans="1:13">
      <c r="A2750">
        <v>2744</v>
      </c>
      <c r="B2750">
        <v>115530</v>
      </c>
      <c r="C2750" t="s">
        <v>6049</v>
      </c>
      <c r="D2750" t="s">
        <v>209</v>
      </c>
      <c r="E2750" t="s">
        <v>6050</v>
      </c>
      <c r="F2750" t="str">
        <f>"00416879"</f>
        <v>00416879</v>
      </c>
      <c r="G2750" t="s">
        <v>2851</v>
      </c>
      <c r="H2750" t="s">
        <v>274</v>
      </c>
      <c r="I2750">
        <v>1394</v>
      </c>
      <c r="J2750" t="s">
        <v>21</v>
      </c>
      <c r="K2750">
        <v>0</v>
      </c>
      <c r="M2750">
        <v>1377</v>
      </c>
    </row>
    <row r="2751" spans="1:13">
      <c r="A2751">
        <v>2745</v>
      </c>
      <c r="B2751">
        <v>77919</v>
      </c>
      <c r="C2751" t="s">
        <v>6051</v>
      </c>
      <c r="D2751" t="s">
        <v>105</v>
      </c>
      <c r="E2751" t="s">
        <v>6052</v>
      </c>
      <c r="F2751" t="str">
        <f>"00221579"</f>
        <v>00221579</v>
      </c>
      <c r="G2751" t="s">
        <v>19</v>
      </c>
      <c r="H2751" t="s">
        <v>20</v>
      </c>
      <c r="I2751">
        <v>1531</v>
      </c>
      <c r="J2751" t="s">
        <v>21</v>
      </c>
      <c r="K2751">
        <v>0</v>
      </c>
      <c r="M2751">
        <v>1538</v>
      </c>
    </row>
    <row r="2752" spans="1:13">
      <c r="A2752">
        <v>2746</v>
      </c>
      <c r="B2752">
        <v>58260</v>
      </c>
      <c r="C2752" t="s">
        <v>6053</v>
      </c>
      <c r="D2752" t="s">
        <v>121</v>
      </c>
      <c r="E2752" t="s">
        <v>6054</v>
      </c>
      <c r="F2752" t="str">
        <f>"00358787"</f>
        <v>00358787</v>
      </c>
      <c r="G2752" t="s">
        <v>418</v>
      </c>
      <c r="H2752" t="s">
        <v>234</v>
      </c>
      <c r="I2752">
        <v>1335</v>
      </c>
      <c r="J2752" t="s">
        <v>21</v>
      </c>
      <c r="K2752">
        <v>6</v>
      </c>
      <c r="M2752">
        <v>1503</v>
      </c>
    </row>
    <row r="2753" spans="1:13">
      <c r="A2753">
        <v>2747</v>
      </c>
      <c r="B2753">
        <v>114680</v>
      </c>
      <c r="C2753" t="s">
        <v>6055</v>
      </c>
      <c r="D2753" t="s">
        <v>6056</v>
      </c>
      <c r="E2753" t="s">
        <v>6057</v>
      </c>
      <c r="F2753" t="str">
        <f>"00420007"</f>
        <v>00420007</v>
      </c>
      <c r="G2753" t="s">
        <v>47</v>
      </c>
      <c r="H2753" t="s">
        <v>48</v>
      </c>
      <c r="I2753">
        <v>1623</v>
      </c>
      <c r="J2753" t="s">
        <v>21</v>
      </c>
      <c r="K2753">
        <v>0</v>
      </c>
      <c r="M2753">
        <v>1388</v>
      </c>
    </row>
    <row r="2754" spans="1:13">
      <c r="A2754">
        <v>2748</v>
      </c>
      <c r="B2754">
        <v>75942</v>
      </c>
      <c r="C2754" t="s">
        <v>6058</v>
      </c>
      <c r="D2754" t="s">
        <v>80</v>
      </c>
      <c r="E2754" t="s">
        <v>6059</v>
      </c>
      <c r="F2754" t="str">
        <f>"00402797"</f>
        <v>00402797</v>
      </c>
      <c r="G2754" t="s">
        <v>713</v>
      </c>
      <c r="H2754" t="s">
        <v>366</v>
      </c>
      <c r="I2754">
        <v>1690</v>
      </c>
      <c r="J2754" t="s">
        <v>21</v>
      </c>
      <c r="K2754">
        <v>0</v>
      </c>
      <c r="L2754" t="s">
        <v>59</v>
      </c>
      <c r="M2754">
        <v>1181</v>
      </c>
    </row>
    <row r="2755" spans="1:13">
      <c r="A2755">
        <v>2749</v>
      </c>
      <c r="B2755">
        <v>62135</v>
      </c>
      <c r="C2755" t="s">
        <v>6060</v>
      </c>
      <c r="D2755" t="s">
        <v>105</v>
      </c>
      <c r="E2755" t="s">
        <v>6061</v>
      </c>
      <c r="F2755" t="str">
        <f>"00252973"</f>
        <v>00252973</v>
      </c>
      <c r="G2755" t="s">
        <v>1595</v>
      </c>
      <c r="H2755" t="s">
        <v>20</v>
      </c>
      <c r="I2755">
        <v>1538</v>
      </c>
      <c r="J2755" t="s">
        <v>21</v>
      </c>
      <c r="K2755">
        <v>6</v>
      </c>
      <c r="L2755" t="s">
        <v>88</v>
      </c>
      <c r="M2755">
        <v>100</v>
      </c>
    </row>
    <row r="2756" spans="1:13">
      <c r="A2756">
        <v>2750</v>
      </c>
      <c r="B2756">
        <v>87680</v>
      </c>
      <c r="C2756" t="s">
        <v>6062</v>
      </c>
      <c r="D2756" t="s">
        <v>655</v>
      </c>
      <c r="E2756" t="s">
        <v>6063</v>
      </c>
      <c r="F2756" t="str">
        <f>"00381973"</f>
        <v>00381973</v>
      </c>
      <c r="G2756" t="s">
        <v>47</v>
      </c>
      <c r="H2756" t="s">
        <v>48</v>
      </c>
      <c r="I2756">
        <v>1623</v>
      </c>
      <c r="J2756" t="s">
        <v>21</v>
      </c>
      <c r="K2756">
        <v>0</v>
      </c>
      <c r="L2756" t="s">
        <v>35</v>
      </c>
      <c r="M2756">
        <v>908</v>
      </c>
    </row>
    <row r="2757" spans="1:13">
      <c r="A2757">
        <v>2751</v>
      </c>
      <c r="B2757">
        <v>49816</v>
      </c>
      <c r="C2757" t="s">
        <v>6064</v>
      </c>
      <c r="D2757" t="s">
        <v>566</v>
      </c>
      <c r="E2757" t="s">
        <v>6065</v>
      </c>
      <c r="F2757" t="str">
        <f>"00361413"</f>
        <v>00361413</v>
      </c>
      <c r="G2757" t="s">
        <v>2369</v>
      </c>
      <c r="H2757" t="s">
        <v>241</v>
      </c>
      <c r="I2757">
        <v>1364</v>
      </c>
      <c r="J2757" t="s">
        <v>21</v>
      </c>
      <c r="K2757">
        <v>6</v>
      </c>
      <c r="L2757" t="s">
        <v>59</v>
      </c>
      <c r="M2757">
        <v>1288</v>
      </c>
    </row>
    <row r="2758" spans="1:13">
      <c r="A2758">
        <v>2752</v>
      </c>
      <c r="B2758">
        <v>74744</v>
      </c>
      <c r="C2758" t="s">
        <v>6066</v>
      </c>
      <c r="D2758" t="s">
        <v>105</v>
      </c>
      <c r="E2758" t="s">
        <v>6067</v>
      </c>
      <c r="F2758" t="str">
        <f>"00407770"</f>
        <v>00407770</v>
      </c>
      <c r="G2758" t="s">
        <v>107</v>
      </c>
      <c r="H2758" t="s">
        <v>20</v>
      </c>
      <c r="I2758">
        <v>1472</v>
      </c>
      <c r="J2758" t="s">
        <v>21</v>
      </c>
      <c r="K2758">
        <v>0</v>
      </c>
      <c r="L2758" t="s">
        <v>35</v>
      </c>
      <c r="M2758">
        <v>1000</v>
      </c>
    </row>
    <row r="2759" spans="1:13">
      <c r="A2759">
        <v>2753</v>
      </c>
      <c r="B2759">
        <v>113246</v>
      </c>
      <c r="C2759" t="s">
        <v>6068</v>
      </c>
      <c r="D2759" t="s">
        <v>700</v>
      </c>
      <c r="E2759" t="s">
        <v>6069</v>
      </c>
      <c r="F2759" t="str">
        <f>"00410830"</f>
        <v>00410830</v>
      </c>
      <c r="G2759" t="s">
        <v>215</v>
      </c>
      <c r="H2759" t="s">
        <v>216</v>
      </c>
      <c r="I2759">
        <v>1708</v>
      </c>
      <c r="J2759" t="s">
        <v>21</v>
      </c>
      <c r="K2759">
        <v>6</v>
      </c>
      <c r="L2759" t="s">
        <v>88</v>
      </c>
      <c r="M2759">
        <v>500</v>
      </c>
    </row>
    <row r="2760" spans="1:13">
      <c r="A2760">
        <v>2754</v>
      </c>
      <c r="B2760">
        <v>79664</v>
      </c>
      <c r="C2760" t="s">
        <v>6070</v>
      </c>
      <c r="D2760" t="s">
        <v>931</v>
      </c>
      <c r="E2760" t="s">
        <v>6071</v>
      </c>
      <c r="F2760" t="str">
        <f>"201406014707"</f>
        <v>201406014707</v>
      </c>
      <c r="G2760" t="s">
        <v>167</v>
      </c>
      <c r="H2760" t="s">
        <v>20</v>
      </c>
      <c r="I2760">
        <v>1486</v>
      </c>
      <c r="J2760" t="s">
        <v>21</v>
      </c>
      <c r="K2760">
        <v>0</v>
      </c>
      <c r="M2760">
        <v>1728</v>
      </c>
    </row>
    <row r="2761" spans="1:13">
      <c r="A2761">
        <v>2755</v>
      </c>
      <c r="B2761">
        <v>50903</v>
      </c>
      <c r="C2761" t="s">
        <v>6072</v>
      </c>
      <c r="D2761" t="s">
        <v>102</v>
      </c>
      <c r="E2761" t="s">
        <v>6073</v>
      </c>
      <c r="F2761" t="str">
        <f>"00301676"</f>
        <v>00301676</v>
      </c>
      <c r="G2761" t="s">
        <v>325</v>
      </c>
      <c r="H2761" t="s">
        <v>326</v>
      </c>
      <c r="I2761">
        <v>1592</v>
      </c>
      <c r="J2761" t="s">
        <v>21</v>
      </c>
      <c r="K2761">
        <v>0</v>
      </c>
      <c r="L2761" t="s">
        <v>35</v>
      </c>
      <c r="M2761">
        <v>1008</v>
      </c>
    </row>
    <row r="2762" spans="1:13">
      <c r="A2762">
        <v>2756</v>
      </c>
      <c r="B2762">
        <v>75528</v>
      </c>
      <c r="C2762" t="s">
        <v>6074</v>
      </c>
      <c r="D2762" t="s">
        <v>6075</v>
      </c>
      <c r="E2762" t="s">
        <v>6076</v>
      </c>
      <c r="F2762" t="str">
        <f>"00402031"</f>
        <v>00402031</v>
      </c>
      <c r="G2762" t="s">
        <v>211</v>
      </c>
      <c r="H2762" t="s">
        <v>20</v>
      </c>
      <c r="I2762">
        <v>1539</v>
      </c>
      <c r="J2762" t="s">
        <v>21</v>
      </c>
      <c r="K2762">
        <v>0</v>
      </c>
      <c r="M2762">
        <v>1708</v>
      </c>
    </row>
    <row r="2763" spans="1:13">
      <c r="A2763">
        <v>2757</v>
      </c>
      <c r="B2763">
        <v>96124</v>
      </c>
      <c r="C2763" t="s">
        <v>6077</v>
      </c>
      <c r="D2763" t="s">
        <v>218</v>
      </c>
      <c r="E2763" t="s">
        <v>6078</v>
      </c>
      <c r="F2763" t="str">
        <f>"00222574"</f>
        <v>00222574</v>
      </c>
      <c r="G2763" t="s">
        <v>107</v>
      </c>
      <c r="H2763" t="s">
        <v>20</v>
      </c>
      <c r="I2763">
        <v>1472</v>
      </c>
      <c r="J2763" t="s">
        <v>21</v>
      </c>
      <c r="K2763">
        <v>0</v>
      </c>
      <c r="M2763">
        <v>1528</v>
      </c>
    </row>
    <row r="2764" spans="1:13">
      <c r="A2764">
        <v>2758</v>
      </c>
      <c r="B2764">
        <v>103262</v>
      </c>
      <c r="C2764" t="s">
        <v>6079</v>
      </c>
      <c r="D2764" t="s">
        <v>163</v>
      </c>
      <c r="E2764" t="s">
        <v>6080</v>
      </c>
      <c r="F2764" t="str">
        <f>"00395490"</f>
        <v>00395490</v>
      </c>
      <c r="G2764" t="s">
        <v>107</v>
      </c>
      <c r="H2764" t="s">
        <v>20</v>
      </c>
      <c r="I2764">
        <v>1472</v>
      </c>
      <c r="J2764" t="s">
        <v>21</v>
      </c>
      <c r="K2764">
        <v>0</v>
      </c>
      <c r="L2764" t="s">
        <v>35</v>
      </c>
      <c r="M2764">
        <v>908</v>
      </c>
    </row>
    <row r="2765" spans="1:13">
      <c r="A2765">
        <v>2759</v>
      </c>
      <c r="B2765">
        <v>52771</v>
      </c>
      <c r="C2765" t="s">
        <v>6081</v>
      </c>
      <c r="D2765" t="s">
        <v>80</v>
      </c>
      <c r="E2765" t="s">
        <v>6082</v>
      </c>
      <c r="F2765" t="str">
        <f>"00262501"</f>
        <v>00262501</v>
      </c>
      <c r="G2765" t="s">
        <v>520</v>
      </c>
      <c r="H2765" t="s">
        <v>20</v>
      </c>
      <c r="I2765">
        <v>1540</v>
      </c>
      <c r="J2765" t="s">
        <v>21</v>
      </c>
      <c r="K2765">
        <v>0</v>
      </c>
      <c r="L2765" t="s">
        <v>35</v>
      </c>
      <c r="M2765">
        <v>1158</v>
      </c>
    </row>
    <row r="2766" spans="1:13">
      <c r="A2766">
        <v>2760</v>
      </c>
      <c r="B2766">
        <v>96271</v>
      </c>
      <c r="C2766" t="s">
        <v>6083</v>
      </c>
      <c r="D2766" t="s">
        <v>243</v>
      </c>
      <c r="E2766" t="s">
        <v>6084</v>
      </c>
      <c r="F2766" t="str">
        <f>"00402887"</f>
        <v>00402887</v>
      </c>
      <c r="G2766" t="s">
        <v>92</v>
      </c>
      <c r="H2766" t="s">
        <v>780</v>
      </c>
      <c r="I2766">
        <v>1402</v>
      </c>
      <c r="J2766" t="s">
        <v>21</v>
      </c>
      <c r="K2766">
        <v>0</v>
      </c>
      <c r="M2766">
        <v>1878</v>
      </c>
    </row>
    <row r="2767" spans="1:13">
      <c r="A2767">
        <v>2761</v>
      </c>
      <c r="B2767">
        <v>56216</v>
      </c>
      <c r="C2767" t="s">
        <v>6085</v>
      </c>
      <c r="D2767" t="s">
        <v>105</v>
      </c>
      <c r="E2767" t="s">
        <v>6086</v>
      </c>
      <c r="F2767" t="str">
        <f>"201511006744"</f>
        <v>201511006744</v>
      </c>
      <c r="G2767" t="s">
        <v>125</v>
      </c>
      <c r="H2767" t="s">
        <v>20</v>
      </c>
      <c r="I2767">
        <v>1507</v>
      </c>
      <c r="J2767" t="s">
        <v>21</v>
      </c>
      <c r="K2767">
        <v>0</v>
      </c>
      <c r="M2767">
        <v>1428</v>
      </c>
    </row>
    <row r="2768" spans="1:13">
      <c r="A2768">
        <v>2762</v>
      </c>
      <c r="B2768">
        <v>114197</v>
      </c>
      <c r="C2768" t="s">
        <v>6087</v>
      </c>
      <c r="D2768" t="s">
        <v>288</v>
      </c>
      <c r="E2768" t="s">
        <v>6088</v>
      </c>
      <c r="F2768" t="str">
        <f>"00421477"</f>
        <v>00421477</v>
      </c>
      <c r="G2768" t="s">
        <v>230</v>
      </c>
      <c r="H2768" t="s">
        <v>20</v>
      </c>
      <c r="I2768">
        <v>1545</v>
      </c>
      <c r="J2768" t="s">
        <v>21</v>
      </c>
      <c r="K2768">
        <v>0</v>
      </c>
      <c r="L2768" t="s">
        <v>35</v>
      </c>
      <c r="M2768">
        <v>958</v>
      </c>
    </row>
    <row r="2769" spans="1:13">
      <c r="A2769">
        <v>2763</v>
      </c>
      <c r="B2769">
        <v>54773</v>
      </c>
      <c r="C2769" t="s">
        <v>6089</v>
      </c>
      <c r="D2769" t="s">
        <v>180</v>
      </c>
      <c r="E2769" t="s">
        <v>6090</v>
      </c>
      <c r="F2769" t="str">
        <f>"201502002590"</f>
        <v>201502002590</v>
      </c>
      <c r="G2769" t="s">
        <v>107</v>
      </c>
      <c r="H2769" t="s">
        <v>20</v>
      </c>
      <c r="I2769">
        <v>1472</v>
      </c>
      <c r="J2769" t="s">
        <v>21</v>
      </c>
      <c r="K2769">
        <v>0</v>
      </c>
      <c r="L2769" t="s">
        <v>88</v>
      </c>
      <c r="M2769">
        <v>575</v>
      </c>
    </row>
    <row r="2770" spans="1:13">
      <c r="A2770">
        <v>2764</v>
      </c>
      <c r="B2770">
        <v>96042</v>
      </c>
      <c r="C2770" t="s">
        <v>6091</v>
      </c>
      <c r="D2770" t="s">
        <v>905</v>
      </c>
      <c r="E2770" t="s">
        <v>6092</v>
      </c>
      <c r="F2770" t="str">
        <f>"201511018872"</f>
        <v>201511018872</v>
      </c>
      <c r="G2770" t="s">
        <v>258</v>
      </c>
      <c r="H2770" t="s">
        <v>20</v>
      </c>
      <c r="I2770">
        <v>1484</v>
      </c>
      <c r="J2770" t="s">
        <v>21</v>
      </c>
      <c r="K2770">
        <v>0</v>
      </c>
      <c r="L2770" t="s">
        <v>2884</v>
      </c>
      <c r="M2770">
        <v>758</v>
      </c>
    </row>
    <row r="2771" spans="1:13">
      <c r="A2771">
        <v>2765</v>
      </c>
      <c r="B2771">
        <v>70781</v>
      </c>
      <c r="C2771" t="s">
        <v>6093</v>
      </c>
      <c r="D2771" t="s">
        <v>76</v>
      </c>
      <c r="E2771" t="s">
        <v>6094</v>
      </c>
      <c r="F2771" t="str">
        <f>"00394992"</f>
        <v>00394992</v>
      </c>
      <c r="G2771" t="s">
        <v>428</v>
      </c>
      <c r="H2771" t="s">
        <v>20</v>
      </c>
      <c r="I2771">
        <v>1556</v>
      </c>
      <c r="J2771" t="s">
        <v>21</v>
      </c>
      <c r="K2771">
        <v>6</v>
      </c>
      <c r="L2771" t="s">
        <v>35</v>
      </c>
      <c r="M2771">
        <v>1025</v>
      </c>
    </row>
    <row r="2772" spans="1:13">
      <c r="A2772">
        <v>2766</v>
      </c>
      <c r="B2772">
        <v>60972</v>
      </c>
      <c r="C2772" t="s">
        <v>6095</v>
      </c>
      <c r="D2772" t="s">
        <v>373</v>
      </c>
      <c r="E2772" t="s">
        <v>6096</v>
      </c>
      <c r="F2772" t="str">
        <f>"201603000461"</f>
        <v>201603000461</v>
      </c>
      <c r="G2772" t="s">
        <v>488</v>
      </c>
      <c r="H2772" t="s">
        <v>20</v>
      </c>
      <c r="I2772">
        <v>1482</v>
      </c>
      <c r="J2772" t="s">
        <v>21</v>
      </c>
      <c r="K2772">
        <v>0</v>
      </c>
      <c r="M2772">
        <v>1518</v>
      </c>
    </row>
    <row r="2773" spans="1:13">
      <c r="A2773">
        <v>2767</v>
      </c>
      <c r="B2773">
        <v>72097</v>
      </c>
      <c r="C2773" t="s">
        <v>6097</v>
      </c>
      <c r="D2773" t="s">
        <v>6098</v>
      </c>
      <c r="E2773" t="s">
        <v>6099</v>
      </c>
      <c r="F2773" t="str">
        <f>"00090365"</f>
        <v>00090365</v>
      </c>
      <c r="G2773" t="s">
        <v>211</v>
      </c>
      <c r="H2773" t="s">
        <v>48</v>
      </c>
      <c r="I2773">
        <v>1628</v>
      </c>
      <c r="J2773" t="s">
        <v>21</v>
      </c>
      <c r="K2773">
        <v>0</v>
      </c>
      <c r="L2773" t="s">
        <v>35</v>
      </c>
      <c r="M2773">
        <v>908</v>
      </c>
    </row>
    <row r="2774" spans="1:13">
      <c r="A2774">
        <v>2768</v>
      </c>
      <c r="B2774">
        <v>95189</v>
      </c>
      <c r="C2774" t="s">
        <v>6100</v>
      </c>
      <c r="D2774" t="s">
        <v>180</v>
      </c>
      <c r="E2774" t="s">
        <v>6101</v>
      </c>
      <c r="F2774" t="str">
        <f>"201511020210"</f>
        <v>201511020210</v>
      </c>
      <c r="G2774" t="s">
        <v>215</v>
      </c>
      <c r="H2774" t="s">
        <v>216</v>
      </c>
      <c r="I2774">
        <v>1708</v>
      </c>
      <c r="J2774" t="s">
        <v>21</v>
      </c>
      <c r="K2774">
        <v>6</v>
      </c>
      <c r="L2774" t="s">
        <v>83</v>
      </c>
      <c r="M2774">
        <v>1188</v>
      </c>
    </row>
    <row r="2775" spans="1:13">
      <c r="A2775">
        <v>2769</v>
      </c>
      <c r="B2775">
        <v>85077</v>
      </c>
      <c r="C2775" t="s">
        <v>6102</v>
      </c>
      <c r="D2775" t="s">
        <v>145</v>
      </c>
      <c r="E2775" t="s">
        <v>6103</v>
      </c>
      <c r="F2775" t="str">
        <f>"00239266"</f>
        <v>00239266</v>
      </c>
      <c r="G2775" t="s">
        <v>583</v>
      </c>
      <c r="H2775" t="s">
        <v>137</v>
      </c>
      <c r="I2775">
        <v>1601</v>
      </c>
      <c r="J2775" t="s">
        <v>21</v>
      </c>
      <c r="K2775">
        <v>0</v>
      </c>
      <c r="L2775" t="s">
        <v>83</v>
      </c>
      <c r="M2775">
        <v>1228</v>
      </c>
    </row>
    <row r="2776" spans="1:13">
      <c r="A2776">
        <v>2770</v>
      </c>
      <c r="B2776">
        <v>89462</v>
      </c>
      <c r="C2776" t="s">
        <v>6104</v>
      </c>
      <c r="D2776" t="s">
        <v>145</v>
      </c>
      <c r="E2776" t="s">
        <v>6105</v>
      </c>
      <c r="F2776" t="str">
        <f>"00389306"</f>
        <v>00389306</v>
      </c>
      <c r="G2776" t="s">
        <v>437</v>
      </c>
      <c r="H2776" t="s">
        <v>20</v>
      </c>
      <c r="I2776">
        <v>1407</v>
      </c>
      <c r="J2776" t="s">
        <v>21</v>
      </c>
      <c r="K2776">
        <v>0</v>
      </c>
      <c r="M2776">
        <v>1628</v>
      </c>
    </row>
    <row r="2777" spans="1:13">
      <c r="A2777">
        <v>2771</v>
      </c>
      <c r="B2777">
        <v>76108</v>
      </c>
      <c r="C2777" t="s">
        <v>6106</v>
      </c>
      <c r="D2777" t="s">
        <v>90</v>
      </c>
      <c r="E2777" t="s">
        <v>6107</v>
      </c>
      <c r="F2777" t="str">
        <f>"00361174"</f>
        <v>00361174</v>
      </c>
      <c r="G2777" t="s">
        <v>481</v>
      </c>
      <c r="H2777" t="s">
        <v>20</v>
      </c>
      <c r="I2777">
        <v>1547</v>
      </c>
      <c r="J2777" t="s">
        <v>21</v>
      </c>
      <c r="K2777">
        <v>0</v>
      </c>
      <c r="L2777" t="s">
        <v>35</v>
      </c>
      <c r="M2777">
        <v>1100</v>
      </c>
    </row>
    <row r="2778" spans="1:13">
      <c r="A2778">
        <v>2772</v>
      </c>
      <c r="B2778">
        <v>47964</v>
      </c>
      <c r="C2778" t="s">
        <v>6108</v>
      </c>
      <c r="D2778" t="s">
        <v>2021</v>
      </c>
      <c r="E2778" t="s">
        <v>6109</v>
      </c>
      <c r="F2778" t="str">
        <f>"00234296"</f>
        <v>00234296</v>
      </c>
      <c r="G2778" t="s">
        <v>380</v>
      </c>
      <c r="H2778" t="s">
        <v>20</v>
      </c>
      <c r="I2778">
        <v>1496</v>
      </c>
      <c r="J2778" t="s">
        <v>21</v>
      </c>
      <c r="K2778">
        <v>0</v>
      </c>
      <c r="M2778">
        <v>1553</v>
      </c>
    </row>
    <row r="2779" spans="1:13">
      <c r="A2779">
        <v>2773</v>
      </c>
      <c r="B2779">
        <v>68738</v>
      </c>
      <c r="C2779" t="s">
        <v>6110</v>
      </c>
      <c r="D2779" t="s">
        <v>109</v>
      </c>
      <c r="E2779" t="s">
        <v>6111</v>
      </c>
      <c r="F2779" t="str">
        <f>"00374583"</f>
        <v>00374583</v>
      </c>
      <c r="G2779" t="s">
        <v>24</v>
      </c>
      <c r="H2779" t="s">
        <v>20</v>
      </c>
      <c r="I2779">
        <v>1577</v>
      </c>
      <c r="J2779" t="s">
        <v>21</v>
      </c>
      <c r="K2779">
        <v>0</v>
      </c>
      <c r="M2779">
        <v>1528</v>
      </c>
    </row>
    <row r="2780" spans="1:13">
      <c r="A2780">
        <v>2774</v>
      </c>
      <c r="B2780">
        <v>75256</v>
      </c>
      <c r="C2780" t="s">
        <v>6112</v>
      </c>
      <c r="D2780" t="s">
        <v>180</v>
      </c>
      <c r="E2780" t="s">
        <v>6113</v>
      </c>
      <c r="F2780" t="str">
        <f>"00268227"</f>
        <v>00268227</v>
      </c>
      <c r="G2780" t="s">
        <v>344</v>
      </c>
      <c r="H2780" t="s">
        <v>137</v>
      </c>
      <c r="I2780">
        <v>1614</v>
      </c>
      <c r="J2780" t="s">
        <v>21</v>
      </c>
      <c r="K2780">
        <v>0</v>
      </c>
      <c r="L2780" t="s">
        <v>35</v>
      </c>
      <c r="M2780">
        <v>908</v>
      </c>
    </row>
    <row r="2781" spans="1:13">
      <c r="A2781">
        <v>2775</v>
      </c>
      <c r="B2781">
        <v>104405</v>
      </c>
      <c r="C2781" t="s">
        <v>6114</v>
      </c>
      <c r="D2781" t="s">
        <v>373</v>
      </c>
      <c r="E2781" t="s">
        <v>6115</v>
      </c>
      <c r="F2781" t="str">
        <f>"201511008901"</f>
        <v>201511008901</v>
      </c>
      <c r="G2781" t="s">
        <v>70</v>
      </c>
      <c r="H2781" t="s">
        <v>1377</v>
      </c>
      <c r="I2781">
        <v>1703</v>
      </c>
      <c r="J2781" t="s">
        <v>21</v>
      </c>
      <c r="K2781">
        <v>0</v>
      </c>
      <c r="M2781">
        <v>1518</v>
      </c>
    </row>
    <row r="2782" spans="1:13">
      <c r="A2782">
        <v>2776</v>
      </c>
      <c r="B2782">
        <v>75682</v>
      </c>
      <c r="C2782" t="s">
        <v>6116</v>
      </c>
      <c r="D2782" t="s">
        <v>90</v>
      </c>
      <c r="E2782" t="s">
        <v>6117</v>
      </c>
      <c r="F2782" t="str">
        <f>"00402543"</f>
        <v>00402543</v>
      </c>
      <c r="G2782" t="s">
        <v>245</v>
      </c>
      <c r="H2782" t="s">
        <v>20</v>
      </c>
      <c r="I2782">
        <v>1406</v>
      </c>
      <c r="J2782" t="s">
        <v>21</v>
      </c>
      <c r="K2782">
        <v>0</v>
      </c>
      <c r="L2782" t="s">
        <v>112</v>
      </c>
      <c r="M2782">
        <v>900</v>
      </c>
    </row>
    <row r="2783" spans="1:13">
      <c r="A2783">
        <v>2777</v>
      </c>
      <c r="B2783">
        <v>82302</v>
      </c>
      <c r="C2783" t="s">
        <v>6118</v>
      </c>
      <c r="D2783" t="s">
        <v>90</v>
      </c>
      <c r="E2783" t="s">
        <v>6119</v>
      </c>
      <c r="F2783" t="str">
        <f>"00379314"</f>
        <v>00379314</v>
      </c>
      <c r="G2783" t="s">
        <v>2305</v>
      </c>
      <c r="H2783" t="s">
        <v>2306</v>
      </c>
      <c r="I2783">
        <v>1369</v>
      </c>
      <c r="J2783" t="s">
        <v>21</v>
      </c>
      <c r="K2783">
        <v>0</v>
      </c>
      <c r="L2783" t="s">
        <v>88</v>
      </c>
      <c r="M2783">
        <v>775</v>
      </c>
    </row>
    <row r="2784" spans="1:13">
      <c r="A2784">
        <v>2778</v>
      </c>
      <c r="B2784">
        <v>61522</v>
      </c>
      <c r="C2784" t="s">
        <v>6120</v>
      </c>
      <c r="D2784" t="s">
        <v>6121</v>
      </c>
      <c r="E2784" t="s">
        <v>6122</v>
      </c>
      <c r="F2784" t="str">
        <f>"00382836"</f>
        <v>00382836</v>
      </c>
      <c r="G2784" t="s">
        <v>230</v>
      </c>
      <c r="H2784" t="s">
        <v>20</v>
      </c>
      <c r="I2784">
        <v>1545</v>
      </c>
      <c r="J2784" t="s">
        <v>21</v>
      </c>
      <c r="K2784">
        <v>0</v>
      </c>
      <c r="L2784" t="s">
        <v>35</v>
      </c>
      <c r="M2784">
        <v>1008</v>
      </c>
    </row>
    <row r="2785" spans="1:13">
      <c r="A2785">
        <v>2779</v>
      </c>
      <c r="B2785">
        <v>91411</v>
      </c>
      <c r="C2785" t="s">
        <v>6123</v>
      </c>
      <c r="D2785" t="s">
        <v>238</v>
      </c>
      <c r="E2785" t="s">
        <v>6124</v>
      </c>
      <c r="F2785" t="str">
        <f>"00406444"</f>
        <v>00406444</v>
      </c>
      <c r="G2785" t="s">
        <v>150</v>
      </c>
      <c r="H2785" t="s">
        <v>151</v>
      </c>
      <c r="I2785">
        <v>1699</v>
      </c>
      <c r="J2785" t="s">
        <v>21</v>
      </c>
      <c r="K2785">
        <v>0</v>
      </c>
      <c r="L2785" t="s">
        <v>35</v>
      </c>
      <c r="M2785">
        <v>840</v>
      </c>
    </row>
    <row r="2786" spans="1:13">
      <c r="A2786">
        <v>2780</v>
      </c>
      <c r="B2786">
        <v>111087</v>
      </c>
      <c r="C2786" t="s">
        <v>6125</v>
      </c>
      <c r="D2786" t="s">
        <v>492</v>
      </c>
      <c r="E2786" t="s">
        <v>6126</v>
      </c>
      <c r="F2786" t="str">
        <f>"00419044"</f>
        <v>00419044</v>
      </c>
      <c r="G2786" t="s">
        <v>107</v>
      </c>
      <c r="H2786" t="s">
        <v>20</v>
      </c>
      <c r="I2786">
        <v>1472</v>
      </c>
      <c r="J2786" t="s">
        <v>21</v>
      </c>
      <c r="K2786">
        <v>0</v>
      </c>
      <c r="L2786" t="s">
        <v>401</v>
      </c>
      <c r="M2786">
        <v>1211</v>
      </c>
    </row>
    <row r="2787" spans="1:13">
      <c r="A2787">
        <v>2781</v>
      </c>
      <c r="B2787">
        <v>89242</v>
      </c>
      <c r="C2787" t="s">
        <v>6127</v>
      </c>
      <c r="D2787" t="s">
        <v>80</v>
      </c>
      <c r="E2787" t="s">
        <v>6128</v>
      </c>
      <c r="F2787" t="str">
        <f>"00394643"</f>
        <v>00394643</v>
      </c>
      <c r="G2787" t="s">
        <v>47</v>
      </c>
      <c r="H2787" t="s">
        <v>48</v>
      </c>
      <c r="I2787">
        <v>1623</v>
      </c>
      <c r="J2787" t="s">
        <v>21</v>
      </c>
      <c r="K2787">
        <v>0</v>
      </c>
      <c r="L2787" t="s">
        <v>35</v>
      </c>
      <c r="M2787">
        <v>906</v>
      </c>
    </row>
    <row r="2788" spans="1:13">
      <c r="A2788">
        <v>2782</v>
      </c>
      <c r="B2788">
        <v>80875</v>
      </c>
      <c r="C2788" t="s">
        <v>6129</v>
      </c>
      <c r="D2788" t="s">
        <v>180</v>
      </c>
      <c r="E2788" t="s">
        <v>6130</v>
      </c>
      <c r="F2788" t="str">
        <f>"00391941"</f>
        <v>00391941</v>
      </c>
      <c r="G2788" t="s">
        <v>63</v>
      </c>
      <c r="H2788" t="s">
        <v>2172</v>
      </c>
      <c r="I2788">
        <v>1698</v>
      </c>
      <c r="J2788" t="s">
        <v>21</v>
      </c>
      <c r="K2788">
        <v>0</v>
      </c>
      <c r="M2788">
        <v>1338</v>
      </c>
    </row>
    <row r="2789" spans="1:13">
      <c r="A2789">
        <v>2783</v>
      </c>
      <c r="B2789">
        <v>48307</v>
      </c>
      <c r="C2789" t="s">
        <v>6131</v>
      </c>
      <c r="D2789" t="s">
        <v>80</v>
      </c>
      <c r="E2789" t="s">
        <v>6132</v>
      </c>
      <c r="F2789" t="str">
        <f>"00354008"</f>
        <v>00354008</v>
      </c>
      <c r="G2789" t="s">
        <v>1621</v>
      </c>
      <c r="H2789" t="s">
        <v>20</v>
      </c>
      <c r="I2789">
        <v>1524</v>
      </c>
      <c r="J2789" t="s">
        <v>21</v>
      </c>
      <c r="K2789">
        <v>6</v>
      </c>
      <c r="M2789">
        <v>1328</v>
      </c>
    </row>
    <row r="2790" spans="1:13">
      <c r="A2790">
        <v>2784</v>
      </c>
      <c r="B2790">
        <v>90834</v>
      </c>
      <c r="C2790" t="s">
        <v>6133</v>
      </c>
      <c r="D2790" t="s">
        <v>153</v>
      </c>
      <c r="E2790" t="s">
        <v>6134</v>
      </c>
      <c r="F2790" t="str">
        <f>"00328500"</f>
        <v>00328500</v>
      </c>
      <c r="G2790" t="s">
        <v>332</v>
      </c>
      <c r="H2790" t="s">
        <v>270</v>
      </c>
      <c r="I2790">
        <v>1631</v>
      </c>
      <c r="J2790" t="s">
        <v>21</v>
      </c>
      <c r="K2790">
        <v>6</v>
      </c>
      <c r="L2790" t="s">
        <v>59</v>
      </c>
      <c r="M2790">
        <v>1138</v>
      </c>
    </row>
    <row r="2791" spans="1:13">
      <c r="A2791">
        <v>2785</v>
      </c>
      <c r="B2791">
        <v>68100</v>
      </c>
      <c r="C2791" t="s">
        <v>6135</v>
      </c>
      <c r="D2791" t="s">
        <v>121</v>
      </c>
      <c r="E2791" t="s">
        <v>6136</v>
      </c>
      <c r="F2791" t="str">
        <f>"00371627"</f>
        <v>00371627</v>
      </c>
      <c r="G2791" t="s">
        <v>1100</v>
      </c>
      <c r="H2791" t="s">
        <v>234</v>
      </c>
      <c r="I2791">
        <v>1344</v>
      </c>
      <c r="J2791" t="s">
        <v>21</v>
      </c>
      <c r="K2791">
        <v>6</v>
      </c>
      <c r="L2791" t="s">
        <v>83</v>
      </c>
      <c r="M2791">
        <v>848</v>
      </c>
    </row>
    <row r="2792" spans="1:13">
      <c r="A2792">
        <v>2786</v>
      </c>
      <c r="B2792">
        <v>95210</v>
      </c>
      <c r="C2792" t="s">
        <v>6137</v>
      </c>
      <c r="D2792" t="s">
        <v>145</v>
      </c>
      <c r="E2792" t="s">
        <v>6138</v>
      </c>
      <c r="F2792" t="str">
        <f>"201406017161"</f>
        <v>201406017161</v>
      </c>
      <c r="G2792" t="s">
        <v>600</v>
      </c>
      <c r="H2792" t="s">
        <v>366</v>
      </c>
      <c r="I2792">
        <v>1694</v>
      </c>
      <c r="J2792" t="s">
        <v>21</v>
      </c>
      <c r="K2792">
        <v>0</v>
      </c>
      <c r="L2792" t="s">
        <v>59</v>
      </c>
      <c r="M2792">
        <v>838</v>
      </c>
    </row>
    <row r="2793" spans="1:13">
      <c r="A2793">
        <v>2787</v>
      </c>
      <c r="B2793">
        <v>56074</v>
      </c>
      <c r="C2793" t="s">
        <v>6139</v>
      </c>
      <c r="D2793" t="s">
        <v>98</v>
      </c>
      <c r="E2793" t="s">
        <v>6140</v>
      </c>
      <c r="F2793" t="str">
        <f>"00264884"</f>
        <v>00264884</v>
      </c>
      <c r="G2793" t="s">
        <v>107</v>
      </c>
      <c r="H2793" t="s">
        <v>20</v>
      </c>
      <c r="I2793">
        <v>1472</v>
      </c>
      <c r="J2793" t="s">
        <v>21</v>
      </c>
      <c r="K2793">
        <v>0</v>
      </c>
      <c r="M2793">
        <v>1408</v>
      </c>
    </row>
    <row r="2794" spans="1:13">
      <c r="A2794">
        <v>2788</v>
      </c>
      <c r="B2794">
        <v>78009</v>
      </c>
      <c r="C2794" t="s">
        <v>6141</v>
      </c>
      <c r="D2794" t="s">
        <v>65</v>
      </c>
      <c r="E2794" t="s">
        <v>6142</v>
      </c>
      <c r="F2794" t="str">
        <f>"201511005843"</f>
        <v>201511005843</v>
      </c>
      <c r="G2794" t="s">
        <v>125</v>
      </c>
      <c r="H2794" t="s">
        <v>20</v>
      </c>
      <c r="I2794">
        <v>1507</v>
      </c>
      <c r="J2794" t="s">
        <v>21</v>
      </c>
      <c r="K2794">
        <v>0</v>
      </c>
      <c r="L2794" t="s">
        <v>59</v>
      </c>
      <c r="M2794">
        <v>1188</v>
      </c>
    </row>
    <row r="2795" spans="1:13">
      <c r="A2795">
        <v>2789</v>
      </c>
      <c r="B2795">
        <v>112566</v>
      </c>
      <c r="C2795" t="s">
        <v>6143</v>
      </c>
      <c r="D2795" t="s">
        <v>180</v>
      </c>
      <c r="E2795" t="s">
        <v>6144</v>
      </c>
      <c r="F2795" t="str">
        <f>"00410971"</f>
        <v>00410971</v>
      </c>
      <c r="G2795" t="s">
        <v>596</v>
      </c>
      <c r="H2795" t="s">
        <v>20</v>
      </c>
      <c r="I2795">
        <v>1562</v>
      </c>
      <c r="J2795" t="s">
        <v>21</v>
      </c>
      <c r="K2795">
        <v>6</v>
      </c>
      <c r="M2795">
        <v>1298</v>
      </c>
    </row>
    <row r="2796" spans="1:13">
      <c r="A2796">
        <v>2790</v>
      </c>
      <c r="B2796">
        <v>93067</v>
      </c>
      <c r="C2796" t="s">
        <v>6145</v>
      </c>
      <c r="D2796" t="s">
        <v>105</v>
      </c>
      <c r="E2796" t="s">
        <v>6146</v>
      </c>
      <c r="F2796" t="str">
        <f>"00257112"</f>
        <v>00257112</v>
      </c>
      <c r="G2796" t="s">
        <v>1134</v>
      </c>
      <c r="H2796" t="s">
        <v>20</v>
      </c>
      <c r="I2796">
        <v>1454</v>
      </c>
      <c r="J2796" t="s">
        <v>21</v>
      </c>
      <c r="K2796">
        <v>6</v>
      </c>
      <c r="L2796" t="s">
        <v>35</v>
      </c>
      <c r="M2796">
        <v>783</v>
      </c>
    </row>
    <row r="2797" spans="1:13">
      <c r="A2797">
        <v>2791</v>
      </c>
      <c r="B2797">
        <v>52791</v>
      </c>
      <c r="C2797" t="s">
        <v>6147</v>
      </c>
      <c r="D2797" t="s">
        <v>243</v>
      </c>
      <c r="E2797" t="s">
        <v>6148</v>
      </c>
      <c r="F2797" t="str">
        <f>"00253172"</f>
        <v>00253172</v>
      </c>
      <c r="G2797" t="s">
        <v>107</v>
      </c>
      <c r="H2797" t="s">
        <v>20</v>
      </c>
      <c r="I2797">
        <v>1472</v>
      </c>
      <c r="J2797" t="s">
        <v>21</v>
      </c>
      <c r="K2797">
        <v>0</v>
      </c>
      <c r="L2797" t="s">
        <v>35</v>
      </c>
      <c r="M2797">
        <v>908</v>
      </c>
    </row>
    <row r="2798" spans="1:13">
      <c r="A2798">
        <v>2792</v>
      </c>
      <c r="B2798">
        <v>53886</v>
      </c>
      <c r="C2798" t="s">
        <v>6149</v>
      </c>
      <c r="D2798" t="s">
        <v>914</v>
      </c>
      <c r="E2798" t="s">
        <v>6150</v>
      </c>
      <c r="F2798" t="str">
        <f>"201511025170"</f>
        <v>201511025170</v>
      </c>
      <c r="G2798" t="s">
        <v>63</v>
      </c>
      <c r="H2798" t="s">
        <v>20</v>
      </c>
      <c r="I2798">
        <v>1576</v>
      </c>
      <c r="J2798" t="s">
        <v>21</v>
      </c>
      <c r="K2798">
        <v>0</v>
      </c>
      <c r="L2798" t="s">
        <v>25</v>
      </c>
      <c r="M2798">
        <v>1318</v>
      </c>
    </row>
    <row r="2799" spans="1:13">
      <c r="A2799">
        <v>2793</v>
      </c>
      <c r="B2799">
        <v>46042</v>
      </c>
      <c r="C2799" t="s">
        <v>6151</v>
      </c>
      <c r="D2799" t="s">
        <v>94</v>
      </c>
      <c r="E2799" t="s">
        <v>6152</v>
      </c>
      <c r="F2799" t="str">
        <f>"00036973"</f>
        <v>00036973</v>
      </c>
      <c r="G2799" t="s">
        <v>325</v>
      </c>
      <c r="H2799" t="s">
        <v>326</v>
      </c>
      <c r="I2799">
        <v>1592</v>
      </c>
      <c r="J2799" t="s">
        <v>21</v>
      </c>
      <c r="K2799">
        <v>0</v>
      </c>
      <c r="L2799" t="s">
        <v>59</v>
      </c>
      <c r="M2799">
        <v>1088</v>
      </c>
    </row>
    <row r="2800" spans="1:13">
      <c r="A2800">
        <v>2794</v>
      </c>
      <c r="B2800">
        <v>90596</v>
      </c>
      <c r="C2800" t="s">
        <v>6153</v>
      </c>
      <c r="D2800" t="s">
        <v>163</v>
      </c>
      <c r="E2800" t="s">
        <v>6154</v>
      </c>
      <c r="F2800" t="str">
        <f>"00395932"</f>
        <v>00395932</v>
      </c>
      <c r="G2800" t="s">
        <v>150</v>
      </c>
      <c r="H2800" t="s">
        <v>151</v>
      </c>
      <c r="I2800">
        <v>1699</v>
      </c>
      <c r="J2800" t="s">
        <v>21</v>
      </c>
      <c r="K2800">
        <v>0</v>
      </c>
      <c r="M2800">
        <v>1328</v>
      </c>
    </row>
    <row r="2801" spans="1:13">
      <c r="A2801">
        <v>2795</v>
      </c>
      <c r="B2801">
        <v>59618</v>
      </c>
      <c r="C2801" t="s">
        <v>6155</v>
      </c>
      <c r="D2801" t="s">
        <v>76</v>
      </c>
      <c r="E2801" t="s">
        <v>6156</v>
      </c>
      <c r="F2801" t="str">
        <f>"00339856"</f>
        <v>00339856</v>
      </c>
      <c r="G2801" t="s">
        <v>3707</v>
      </c>
      <c r="H2801" t="s">
        <v>20</v>
      </c>
      <c r="I2801">
        <v>1437</v>
      </c>
      <c r="J2801" t="s">
        <v>21</v>
      </c>
      <c r="K2801">
        <v>6</v>
      </c>
      <c r="L2801" t="s">
        <v>59</v>
      </c>
      <c r="M2801">
        <v>1137</v>
      </c>
    </row>
    <row r="2802" spans="1:13">
      <c r="A2802">
        <v>2796</v>
      </c>
      <c r="B2802">
        <v>52500</v>
      </c>
      <c r="C2802" t="s">
        <v>6157</v>
      </c>
      <c r="D2802" t="s">
        <v>563</v>
      </c>
      <c r="E2802" t="s">
        <v>6158</v>
      </c>
      <c r="F2802" t="str">
        <f>"00250790"</f>
        <v>00250790</v>
      </c>
      <c r="G2802" t="s">
        <v>24</v>
      </c>
      <c r="H2802" t="s">
        <v>20</v>
      </c>
      <c r="I2802">
        <v>1577</v>
      </c>
      <c r="J2802" t="s">
        <v>21</v>
      </c>
      <c r="K2802">
        <v>0</v>
      </c>
      <c r="M2802">
        <v>1428</v>
      </c>
    </row>
    <row r="2803" spans="1:13">
      <c r="A2803">
        <v>2797</v>
      </c>
      <c r="B2803">
        <v>86053</v>
      </c>
      <c r="C2803" t="s">
        <v>6159</v>
      </c>
      <c r="D2803" t="s">
        <v>557</v>
      </c>
      <c r="E2803" t="s">
        <v>6160</v>
      </c>
      <c r="F2803" t="str">
        <f>"00343266"</f>
        <v>00343266</v>
      </c>
      <c r="G2803" t="s">
        <v>6161</v>
      </c>
      <c r="H2803" t="s">
        <v>20</v>
      </c>
      <c r="I2803">
        <v>1463</v>
      </c>
      <c r="J2803" t="s">
        <v>21</v>
      </c>
      <c r="K2803">
        <v>7</v>
      </c>
      <c r="M2803">
        <v>1296</v>
      </c>
    </row>
    <row r="2804" spans="1:13">
      <c r="A2804">
        <v>2798</v>
      </c>
      <c r="B2804">
        <v>99680</v>
      </c>
      <c r="C2804" t="s">
        <v>6162</v>
      </c>
      <c r="D2804" t="s">
        <v>130</v>
      </c>
      <c r="E2804" t="s">
        <v>6163</v>
      </c>
      <c r="F2804" t="str">
        <f>"00206388"</f>
        <v>00206388</v>
      </c>
      <c r="G2804" t="s">
        <v>200</v>
      </c>
      <c r="H2804" t="s">
        <v>20</v>
      </c>
      <c r="I2804">
        <v>1492</v>
      </c>
      <c r="J2804" t="s">
        <v>21</v>
      </c>
      <c r="K2804">
        <v>0</v>
      </c>
      <c r="L2804" t="s">
        <v>112</v>
      </c>
      <c r="M2804">
        <v>808</v>
      </c>
    </row>
    <row r="2805" spans="1:13">
      <c r="A2805">
        <v>2799</v>
      </c>
      <c r="B2805">
        <v>113742</v>
      </c>
      <c r="C2805" t="s">
        <v>6164</v>
      </c>
      <c r="D2805" t="s">
        <v>6165</v>
      </c>
      <c r="E2805" t="s">
        <v>6166</v>
      </c>
      <c r="F2805" t="str">
        <f>"00366397"</f>
        <v>00366397</v>
      </c>
      <c r="G2805" t="s">
        <v>82</v>
      </c>
      <c r="H2805" t="s">
        <v>20</v>
      </c>
      <c r="I2805">
        <v>1475</v>
      </c>
      <c r="J2805" t="s">
        <v>21</v>
      </c>
      <c r="K2805">
        <v>0</v>
      </c>
      <c r="L2805" t="s">
        <v>35</v>
      </c>
      <c r="M2805">
        <v>1085</v>
      </c>
    </row>
    <row r="2806" spans="1:13">
      <c r="A2806">
        <v>2800</v>
      </c>
      <c r="B2806">
        <v>78469</v>
      </c>
      <c r="C2806" t="s">
        <v>6167</v>
      </c>
      <c r="D2806" t="s">
        <v>90</v>
      </c>
      <c r="E2806" t="s">
        <v>6168</v>
      </c>
      <c r="F2806" t="str">
        <f>"00386358"</f>
        <v>00386358</v>
      </c>
      <c r="G2806" t="s">
        <v>892</v>
      </c>
      <c r="H2806" t="s">
        <v>20</v>
      </c>
      <c r="I2806">
        <v>1410</v>
      </c>
      <c r="J2806" t="s">
        <v>21</v>
      </c>
      <c r="K2806">
        <v>0</v>
      </c>
      <c r="M2806">
        <v>1368</v>
      </c>
    </row>
    <row r="2807" spans="1:13">
      <c r="A2807">
        <v>2801</v>
      </c>
      <c r="B2807">
        <v>111169</v>
      </c>
      <c r="C2807" t="s">
        <v>6169</v>
      </c>
      <c r="D2807" t="s">
        <v>180</v>
      </c>
      <c r="E2807" t="s">
        <v>6170</v>
      </c>
      <c r="F2807" t="str">
        <f>"00421964"</f>
        <v>00421964</v>
      </c>
      <c r="G2807" t="s">
        <v>2031</v>
      </c>
      <c r="H2807" t="s">
        <v>137</v>
      </c>
      <c r="I2807">
        <v>1610</v>
      </c>
      <c r="J2807" t="s">
        <v>21</v>
      </c>
      <c r="K2807">
        <v>0</v>
      </c>
      <c r="M2807">
        <v>1428</v>
      </c>
    </row>
    <row r="2808" spans="1:13">
      <c r="A2808">
        <v>2802</v>
      </c>
      <c r="B2808">
        <v>99766</v>
      </c>
      <c r="C2808" t="s">
        <v>6171</v>
      </c>
      <c r="D2808" t="s">
        <v>105</v>
      </c>
      <c r="E2808" t="s">
        <v>6172</v>
      </c>
      <c r="F2808" t="str">
        <f>"00393402"</f>
        <v>00393402</v>
      </c>
      <c r="G2808" t="s">
        <v>1753</v>
      </c>
      <c r="H2808" t="s">
        <v>20</v>
      </c>
      <c r="I2808">
        <v>1544</v>
      </c>
      <c r="J2808" t="s">
        <v>21</v>
      </c>
      <c r="K2808">
        <v>0</v>
      </c>
      <c r="L2808" t="s">
        <v>35</v>
      </c>
      <c r="M2808">
        <v>955</v>
      </c>
    </row>
    <row r="2809" spans="1:13">
      <c r="A2809">
        <v>2803</v>
      </c>
      <c r="B2809">
        <v>97317</v>
      </c>
      <c r="C2809" t="s">
        <v>6173</v>
      </c>
      <c r="D2809" t="s">
        <v>238</v>
      </c>
      <c r="E2809" t="s">
        <v>6174</v>
      </c>
      <c r="F2809" t="str">
        <f>"00155851"</f>
        <v>00155851</v>
      </c>
      <c r="G2809" t="s">
        <v>4869</v>
      </c>
      <c r="H2809" t="s">
        <v>20</v>
      </c>
      <c r="I2809">
        <v>1565</v>
      </c>
      <c r="J2809" t="s">
        <v>21</v>
      </c>
      <c r="K2809">
        <v>0</v>
      </c>
      <c r="M2809">
        <v>1605</v>
      </c>
    </row>
    <row r="2810" spans="1:13">
      <c r="A2810">
        <v>2804</v>
      </c>
      <c r="B2810">
        <v>104491</v>
      </c>
      <c r="C2810" t="s">
        <v>6175</v>
      </c>
      <c r="D2810" t="s">
        <v>105</v>
      </c>
      <c r="E2810" t="s">
        <v>6176</v>
      </c>
      <c r="F2810" t="str">
        <f>"00392574"</f>
        <v>00392574</v>
      </c>
      <c r="G2810" t="s">
        <v>150</v>
      </c>
      <c r="H2810" t="s">
        <v>151</v>
      </c>
      <c r="I2810">
        <v>1699</v>
      </c>
      <c r="J2810" t="s">
        <v>21</v>
      </c>
      <c r="K2810">
        <v>0</v>
      </c>
      <c r="L2810" t="s">
        <v>59</v>
      </c>
      <c r="M2810">
        <v>1098</v>
      </c>
    </row>
    <row r="2811" spans="1:13">
      <c r="A2811">
        <v>2805</v>
      </c>
      <c r="B2811">
        <v>106012</v>
      </c>
      <c r="C2811" t="s">
        <v>6177</v>
      </c>
      <c r="D2811" t="s">
        <v>105</v>
      </c>
      <c r="E2811" t="s">
        <v>6178</v>
      </c>
      <c r="F2811" t="str">
        <f>"00275946"</f>
        <v>00275946</v>
      </c>
      <c r="G2811" t="s">
        <v>1764</v>
      </c>
      <c r="H2811" t="s">
        <v>20</v>
      </c>
      <c r="I2811">
        <v>1532</v>
      </c>
      <c r="J2811" t="s">
        <v>21</v>
      </c>
      <c r="K2811">
        <v>0</v>
      </c>
      <c r="M2811">
        <v>1428</v>
      </c>
    </row>
    <row r="2812" spans="1:13">
      <c r="A2812">
        <v>2806</v>
      </c>
      <c r="B2812">
        <v>106966</v>
      </c>
      <c r="C2812" t="s">
        <v>6179</v>
      </c>
      <c r="D2812" t="s">
        <v>80</v>
      </c>
      <c r="E2812" t="s">
        <v>6180</v>
      </c>
      <c r="F2812" t="str">
        <f>"00391613"</f>
        <v>00391613</v>
      </c>
      <c r="G2812" t="s">
        <v>29</v>
      </c>
      <c r="H2812" t="s">
        <v>20</v>
      </c>
      <c r="I2812">
        <v>1446</v>
      </c>
      <c r="J2812" t="s">
        <v>21</v>
      </c>
      <c r="K2812">
        <v>0</v>
      </c>
      <c r="L2812" t="s">
        <v>35</v>
      </c>
      <c r="M2812">
        <v>1208</v>
      </c>
    </row>
    <row r="2813" spans="1:13">
      <c r="A2813">
        <v>2807</v>
      </c>
      <c r="B2813">
        <v>113367</v>
      </c>
      <c r="C2813" t="s">
        <v>6181</v>
      </c>
      <c r="D2813" t="s">
        <v>76</v>
      </c>
      <c r="E2813" t="s">
        <v>6182</v>
      </c>
      <c r="F2813" t="str">
        <f>"00341449"</f>
        <v>00341449</v>
      </c>
      <c r="G2813" t="s">
        <v>47</v>
      </c>
      <c r="H2813" t="s">
        <v>48</v>
      </c>
      <c r="I2813">
        <v>1623</v>
      </c>
      <c r="J2813" t="s">
        <v>21</v>
      </c>
      <c r="K2813">
        <v>0</v>
      </c>
      <c r="L2813" t="s">
        <v>35</v>
      </c>
      <c r="M2813">
        <v>900</v>
      </c>
    </row>
    <row r="2814" spans="1:13">
      <c r="A2814">
        <v>2808</v>
      </c>
      <c r="B2814">
        <v>53087</v>
      </c>
      <c r="C2814" t="s">
        <v>6183</v>
      </c>
      <c r="D2814" t="s">
        <v>316</v>
      </c>
      <c r="E2814" t="s">
        <v>6184</v>
      </c>
      <c r="F2814" t="str">
        <f>"201410011721"</f>
        <v>201410011721</v>
      </c>
      <c r="G2814" t="s">
        <v>465</v>
      </c>
      <c r="H2814" t="s">
        <v>20</v>
      </c>
      <c r="I2814">
        <v>1534</v>
      </c>
      <c r="J2814" t="s">
        <v>21</v>
      </c>
      <c r="K2814">
        <v>0</v>
      </c>
      <c r="L2814" t="s">
        <v>83</v>
      </c>
      <c r="M2814">
        <v>1297</v>
      </c>
    </row>
    <row r="2815" spans="1:13">
      <c r="A2815">
        <v>2809</v>
      </c>
      <c r="B2815">
        <v>83849</v>
      </c>
      <c r="C2815" t="s">
        <v>6185</v>
      </c>
      <c r="D2815" t="s">
        <v>180</v>
      </c>
      <c r="E2815" t="s">
        <v>6186</v>
      </c>
      <c r="F2815" t="str">
        <f>"00361090"</f>
        <v>00361090</v>
      </c>
      <c r="G2815" t="s">
        <v>691</v>
      </c>
      <c r="H2815" t="s">
        <v>241</v>
      </c>
      <c r="I2815">
        <v>1360</v>
      </c>
      <c r="J2815" t="s">
        <v>21</v>
      </c>
      <c r="K2815">
        <v>0</v>
      </c>
      <c r="M2815">
        <v>1538</v>
      </c>
    </row>
    <row r="2816" spans="1:13">
      <c r="A2816">
        <v>2810</v>
      </c>
      <c r="B2816">
        <v>79714</v>
      </c>
      <c r="C2816" t="s">
        <v>6187</v>
      </c>
      <c r="D2816" t="s">
        <v>180</v>
      </c>
      <c r="E2816" t="s">
        <v>6188</v>
      </c>
      <c r="F2816" t="str">
        <f>"00283640"</f>
        <v>00283640</v>
      </c>
      <c r="G2816" t="s">
        <v>70</v>
      </c>
      <c r="H2816" t="s">
        <v>71</v>
      </c>
      <c r="I2816">
        <v>1702</v>
      </c>
      <c r="J2816" t="s">
        <v>21</v>
      </c>
      <c r="K2816">
        <v>0</v>
      </c>
      <c r="M2816">
        <v>1338</v>
      </c>
    </row>
    <row r="2817" spans="1:13">
      <c r="A2817">
        <v>2811</v>
      </c>
      <c r="B2817">
        <v>92968</v>
      </c>
      <c r="C2817" t="s">
        <v>6189</v>
      </c>
      <c r="D2817" t="s">
        <v>1109</v>
      </c>
      <c r="E2817" t="s">
        <v>6190</v>
      </c>
      <c r="F2817" t="str">
        <f>"00406534"</f>
        <v>00406534</v>
      </c>
      <c r="G2817" t="s">
        <v>4039</v>
      </c>
      <c r="H2817" t="s">
        <v>2864</v>
      </c>
      <c r="I2817">
        <v>1346</v>
      </c>
      <c r="J2817" t="s">
        <v>21</v>
      </c>
      <c r="K2817">
        <v>7</v>
      </c>
      <c r="M2817">
        <v>1378</v>
      </c>
    </row>
    <row r="2818" spans="1:13">
      <c r="A2818">
        <v>2812</v>
      </c>
      <c r="B2818">
        <v>81465</v>
      </c>
      <c r="C2818" t="s">
        <v>6191</v>
      </c>
      <c r="D2818" t="s">
        <v>94</v>
      </c>
      <c r="E2818" t="s">
        <v>6192</v>
      </c>
      <c r="F2818" t="str">
        <f>"00388343"</f>
        <v>00388343</v>
      </c>
      <c r="G2818" t="s">
        <v>47</v>
      </c>
      <c r="H2818" t="s">
        <v>48</v>
      </c>
      <c r="I2818">
        <v>1623</v>
      </c>
      <c r="J2818" t="s">
        <v>21</v>
      </c>
      <c r="K2818">
        <v>0</v>
      </c>
      <c r="M2818">
        <v>1328</v>
      </c>
    </row>
    <row r="2819" spans="1:13">
      <c r="A2819">
        <v>2813</v>
      </c>
      <c r="B2819">
        <v>72982</v>
      </c>
      <c r="C2819" t="s">
        <v>6193</v>
      </c>
      <c r="D2819" t="s">
        <v>180</v>
      </c>
      <c r="E2819" t="s">
        <v>6194</v>
      </c>
      <c r="F2819" t="str">
        <f>"201511017736"</f>
        <v>201511017736</v>
      </c>
      <c r="G2819" t="s">
        <v>626</v>
      </c>
      <c r="H2819" t="s">
        <v>234</v>
      </c>
      <c r="I2819">
        <v>1327</v>
      </c>
      <c r="J2819" t="s">
        <v>21</v>
      </c>
      <c r="K2819">
        <v>0</v>
      </c>
      <c r="M2819">
        <v>1704</v>
      </c>
    </row>
    <row r="2820" spans="1:13">
      <c r="A2820">
        <v>2814</v>
      </c>
      <c r="B2820">
        <v>103853</v>
      </c>
      <c r="C2820" t="s">
        <v>6195</v>
      </c>
      <c r="D2820" t="s">
        <v>65</v>
      </c>
      <c r="E2820" t="s">
        <v>6196</v>
      </c>
      <c r="F2820" t="str">
        <f>"201511022189"</f>
        <v>201511022189</v>
      </c>
      <c r="G2820" t="s">
        <v>167</v>
      </c>
      <c r="H2820" t="s">
        <v>20</v>
      </c>
      <c r="I2820">
        <v>1486</v>
      </c>
      <c r="J2820" t="s">
        <v>21</v>
      </c>
      <c r="K2820">
        <v>0</v>
      </c>
      <c r="M2820">
        <v>1630</v>
      </c>
    </row>
    <row r="2821" spans="1:13">
      <c r="A2821">
        <v>2815</v>
      </c>
      <c r="B2821">
        <v>74117</v>
      </c>
      <c r="C2821" t="s">
        <v>6197</v>
      </c>
      <c r="D2821" t="s">
        <v>180</v>
      </c>
      <c r="E2821" t="s">
        <v>6198</v>
      </c>
      <c r="F2821" t="str">
        <f>"201604001078"</f>
        <v>201604001078</v>
      </c>
      <c r="G2821" t="s">
        <v>150</v>
      </c>
      <c r="H2821" t="s">
        <v>151</v>
      </c>
      <c r="I2821">
        <v>1699</v>
      </c>
      <c r="J2821" t="s">
        <v>21</v>
      </c>
      <c r="K2821">
        <v>0</v>
      </c>
      <c r="M2821">
        <v>1398</v>
      </c>
    </row>
    <row r="2822" spans="1:13">
      <c r="A2822">
        <v>2816</v>
      </c>
      <c r="B2822">
        <v>113187</v>
      </c>
      <c r="C2822" t="s">
        <v>6199</v>
      </c>
      <c r="D2822" t="s">
        <v>563</v>
      </c>
      <c r="E2822" t="s">
        <v>6200</v>
      </c>
      <c r="F2822" t="str">
        <f>"00419511"</f>
        <v>00419511</v>
      </c>
      <c r="G2822" t="s">
        <v>834</v>
      </c>
      <c r="H2822" t="s">
        <v>20</v>
      </c>
      <c r="I2822">
        <v>1416</v>
      </c>
      <c r="J2822" t="s">
        <v>21</v>
      </c>
      <c r="K2822">
        <v>0</v>
      </c>
      <c r="M2822">
        <v>1404</v>
      </c>
    </row>
    <row r="2823" spans="1:13">
      <c r="A2823">
        <v>2817</v>
      </c>
      <c r="B2823">
        <v>92807</v>
      </c>
      <c r="C2823" t="s">
        <v>6201</v>
      </c>
      <c r="D2823" t="s">
        <v>109</v>
      </c>
      <c r="E2823" t="s">
        <v>6202</v>
      </c>
      <c r="F2823" t="str">
        <f>"00401436"</f>
        <v>00401436</v>
      </c>
      <c r="G2823" t="s">
        <v>760</v>
      </c>
      <c r="H2823" t="s">
        <v>20</v>
      </c>
      <c r="I2823">
        <v>1432</v>
      </c>
      <c r="J2823" t="s">
        <v>21</v>
      </c>
      <c r="K2823">
        <v>0</v>
      </c>
      <c r="L2823" t="s">
        <v>35</v>
      </c>
      <c r="M2823">
        <v>1058</v>
      </c>
    </row>
    <row r="2824" spans="1:13">
      <c r="A2824">
        <v>2818</v>
      </c>
      <c r="B2824">
        <v>111788</v>
      </c>
      <c r="C2824" t="s">
        <v>6203</v>
      </c>
      <c r="D2824" t="s">
        <v>76</v>
      </c>
      <c r="E2824" t="s">
        <v>6204</v>
      </c>
      <c r="F2824" t="str">
        <f>"00410256"</f>
        <v>00410256</v>
      </c>
      <c r="G2824" t="s">
        <v>520</v>
      </c>
      <c r="H2824" t="s">
        <v>20</v>
      </c>
      <c r="I2824">
        <v>1540</v>
      </c>
      <c r="J2824" t="s">
        <v>21</v>
      </c>
      <c r="K2824">
        <v>0</v>
      </c>
      <c r="L2824" t="s">
        <v>35</v>
      </c>
      <c r="M2824">
        <v>1052</v>
      </c>
    </row>
    <row r="2825" spans="1:13">
      <c r="A2825">
        <v>2819</v>
      </c>
      <c r="B2825">
        <v>63172</v>
      </c>
      <c r="C2825" t="s">
        <v>6205</v>
      </c>
      <c r="D2825" t="s">
        <v>316</v>
      </c>
      <c r="E2825" t="s">
        <v>6206</v>
      </c>
      <c r="F2825" t="str">
        <f>"00358573"</f>
        <v>00358573</v>
      </c>
      <c r="G2825" t="s">
        <v>38</v>
      </c>
      <c r="H2825" t="s">
        <v>39</v>
      </c>
      <c r="I2825">
        <v>1634</v>
      </c>
      <c r="J2825" t="s">
        <v>21</v>
      </c>
      <c r="K2825">
        <v>6</v>
      </c>
      <c r="L2825" t="s">
        <v>35</v>
      </c>
      <c r="M2825">
        <v>658</v>
      </c>
    </row>
    <row r="2826" spans="1:13">
      <c r="A2826">
        <v>2820</v>
      </c>
      <c r="B2826">
        <v>116167</v>
      </c>
      <c r="C2826" t="s">
        <v>6207</v>
      </c>
      <c r="D2826" t="s">
        <v>163</v>
      </c>
      <c r="E2826" t="s">
        <v>6208</v>
      </c>
      <c r="F2826" t="str">
        <f>"00370113"</f>
        <v>00370113</v>
      </c>
      <c r="G2826" t="s">
        <v>178</v>
      </c>
      <c r="H2826" t="s">
        <v>20</v>
      </c>
      <c r="I2826">
        <v>1519</v>
      </c>
      <c r="J2826" t="s">
        <v>21</v>
      </c>
      <c r="K2826">
        <v>0</v>
      </c>
      <c r="M2826">
        <v>1528</v>
      </c>
    </row>
    <row r="2827" spans="1:13">
      <c r="A2827">
        <v>2821</v>
      </c>
      <c r="B2827">
        <v>56364</v>
      </c>
      <c r="C2827" t="s">
        <v>6209</v>
      </c>
      <c r="D2827" t="s">
        <v>109</v>
      </c>
      <c r="E2827" t="s">
        <v>6210</v>
      </c>
      <c r="F2827" t="str">
        <f>"201406003770"</f>
        <v>201406003770</v>
      </c>
      <c r="G2827" t="s">
        <v>6211</v>
      </c>
      <c r="H2827" t="s">
        <v>1610</v>
      </c>
      <c r="I2827">
        <v>1314</v>
      </c>
      <c r="J2827" t="s">
        <v>21</v>
      </c>
      <c r="K2827">
        <v>0</v>
      </c>
      <c r="M2827">
        <v>1475</v>
      </c>
    </row>
    <row r="2828" spans="1:13">
      <c r="A2828">
        <v>2822</v>
      </c>
      <c r="B2828">
        <v>81126</v>
      </c>
      <c r="C2828" t="s">
        <v>6212</v>
      </c>
      <c r="D2828" t="s">
        <v>2251</v>
      </c>
      <c r="E2828" t="s">
        <v>6213</v>
      </c>
      <c r="F2828" t="str">
        <f>"00394960"</f>
        <v>00394960</v>
      </c>
      <c r="G2828" t="s">
        <v>184</v>
      </c>
      <c r="H2828" t="s">
        <v>185</v>
      </c>
      <c r="I2828">
        <v>1595</v>
      </c>
      <c r="J2828" t="s">
        <v>21</v>
      </c>
      <c r="K2828">
        <v>0</v>
      </c>
      <c r="M2828">
        <v>1500</v>
      </c>
    </row>
    <row r="2829" spans="1:13">
      <c r="A2829">
        <v>2823</v>
      </c>
      <c r="B2829">
        <v>50587</v>
      </c>
      <c r="C2829" t="s">
        <v>6214</v>
      </c>
      <c r="D2829" t="s">
        <v>145</v>
      </c>
      <c r="E2829" t="s">
        <v>6215</v>
      </c>
      <c r="F2829" t="str">
        <f>"00342050"</f>
        <v>00342050</v>
      </c>
      <c r="G2829" t="s">
        <v>211</v>
      </c>
      <c r="H2829" t="s">
        <v>48</v>
      </c>
      <c r="I2829">
        <v>1628</v>
      </c>
      <c r="J2829" t="s">
        <v>21</v>
      </c>
      <c r="K2829">
        <v>0</v>
      </c>
      <c r="L2829" t="s">
        <v>88</v>
      </c>
      <c r="M2829">
        <v>675</v>
      </c>
    </row>
    <row r="2830" spans="1:13">
      <c r="A2830">
        <v>2824</v>
      </c>
      <c r="B2830">
        <v>97220</v>
      </c>
      <c r="C2830" t="s">
        <v>6216</v>
      </c>
      <c r="D2830" t="s">
        <v>76</v>
      </c>
      <c r="E2830" t="s">
        <v>6217</v>
      </c>
      <c r="F2830" t="str">
        <f>"00407738"</f>
        <v>00407738</v>
      </c>
      <c r="G2830" t="s">
        <v>994</v>
      </c>
      <c r="H2830" t="s">
        <v>20</v>
      </c>
      <c r="I2830">
        <v>1522</v>
      </c>
      <c r="J2830" t="s">
        <v>21</v>
      </c>
      <c r="K2830">
        <v>0</v>
      </c>
      <c r="L2830" t="s">
        <v>59</v>
      </c>
      <c r="M2830">
        <v>888</v>
      </c>
    </row>
    <row r="2831" spans="1:13">
      <c r="A2831">
        <v>2825</v>
      </c>
      <c r="B2831">
        <v>73061</v>
      </c>
      <c r="C2831" t="s">
        <v>6218</v>
      </c>
      <c r="D2831" t="s">
        <v>76</v>
      </c>
      <c r="E2831" t="s">
        <v>6219</v>
      </c>
      <c r="F2831" t="str">
        <f>"00230264"</f>
        <v>00230264</v>
      </c>
      <c r="G2831" t="s">
        <v>107</v>
      </c>
      <c r="H2831" t="s">
        <v>20</v>
      </c>
      <c r="I2831">
        <v>1472</v>
      </c>
      <c r="J2831" t="s">
        <v>21</v>
      </c>
      <c r="K2831">
        <v>0</v>
      </c>
      <c r="M2831">
        <v>1488</v>
      </c>
    </row>
    <row r="2832" spans="1:13">
      <c r="A2832">
        <v>2826</v>
      </c>
      <c r="B2832">
        <v>52034</v>
      </c>
      <c r="C2832" t="s">
        <v>6220</v>
      </c>
      <c r="D2832" t="s">
        <v>6221</v>
      </c>
      <c r="E2832" t="s">
        <v>6222</v>
      </c>
      <c r="F2832" t="str">
        <f>"00359946"</f>
        <v>00359946</v>
      </c>
      <c r="G2832" t="s">
        <v>1764</v>
      </c>
      <c r="H2832" t="s">
        <v>20</v>
      </c>
      <c r="I2832">
        <v>1532</v>
      </c>
      <c r="J2832" t="s">
        <v>21</v>
      </c>
      <c r="K2832">
        <v>0</v>
      </c>
      <c r="L2832" t="s">
        <v>35</v>
      </c>
      <c r="M2832">
        <v>936</v>
      </c>
    </row>
    <row r="2833" spans="1:13">
      <c r="A2833">
        <v>2827</v>
      </c>
      <c r="B2833">
        <v>59221</v>
      </c>
      <c r="C2833" t="s">
        <v>6223</v>
      </c>
      <c r="D2833" t="s">
        <v>90</v>
      </c>
      <c r="E2833" t="s">
        <v>6224</v>
      </c>
      <c r="F2833" t="str">
        <f>"00358261"</f>
        <v>00358261</v>
      </c>
      <c r="G2833" t="s">
        <v>955</v>
      </c>
      <c r="H2833" t="s">
        <v>48</v>
      </c>
      <c r="I2833">
        <v>1630</v>
      </c>
      <c r="J2833" t="s">
        <v>21</v>
      </c>
      <c r="K2833">
        <v>0</v>
      </c>
      <c r="L2833" t="s">
        <v>35</v>
      </c>
      <c r="M2833">
        <v>887</v>
      </c>
    </row>
    <row r="2834" spans="1:13">
      <c r="A2834">
        <v>2828</v>
      </c>
      <c r="B2834">
        <v>112334</v>
      </c>
      <c r="C2834" t="s">
        <v>6225</v>
      </c>
      <c r="D2834" t="s">
        <v>76</v>
      </c>
      <c r="E2834" t="s">
        <v>6226</v>
      </c>
      <c r="F2834" t="str">
        <f>"00085582"</f>
        <v>00085582</v>
      </c>
      <c r="G2834" t="s">
        <v>892</v>
      </c>
      <c r="H2834" t="s">
        <v>20</v>
      </c>
      <c r="I2834">
        <v>1410</v>
      </c>
      <c r="J2834" t="s">
        <v>21</v>
      </c>
      <c r="K2834">
        <v>0</v>
      </c>
      <c r="M2834">
        <v>1928</v>
      </c>
    </row>
    <row r="2835" spans="1:13">
      <c r="A2835">
        <v>2829</v>
      </c>
      <c r="B2835">
        <v>76137</v>
      </c>
      <c r="C2835" t="s">
        <v>6227</v>
      </c>
      <c r="D2835" t="s">
        <v>180</v>
      </c>
      <c r="E2835" t="s">
        <v>6228</v>
      </c>
      <c r="F2835" t="str">
        <f>"00254051"</f>
        <v>00254051</v>
      </c>
      <c r="G2835" t="s">
        <v>245</v>
      </c>
      <c r="H2835" t="s">
        <v>20</v>
      </c>
      <c r="I2835">
        <v>1406</v>
      </c>
      <c r="J2835" t="s">
        <v>21</v>
      </c>
      <c r="K2835">
        <v>0</v>
      </c>
      <c r="L2835" t="s">
        <v>88</v>
      </c>
      <c r="M2835">
        <v>574</v>
      </c>
    </row>
    <row r="2836" spans="1:13">
      <c r="A2836">
        <v>2830</v>
      </c>
      <c r="B2836">
        <v>97360</v>
      </c>
      <c r="C2836" t="s">
        <v>6229</v>
      </c>
      <c r="D2836" t="s">
        <v>213</v>
      </c>
      <c r="E2836" t="s">
        <v>6230</v>
      </c>
      <c r="F2836" t="str">
        <f>"00373215"</f>
        <v>00373215</v>
      </c>
      <c r="G2836" t="s">
        <v>1107</v>
      </c>
      <c r="H2836" t="s">
        <v>48</v>
      </c>
      <c r="I2836">
        <v>1626</v>
      </c>
      <c r="J2836" t="s">
        <v>21</v>
      </c>
      <c r="K2836">
        <v>0</v>
      </c>
      <c r="M2836">
        <v>1328</v>
      </c>
    </row>
    <row r="2837" spans="1:13">
      <c r="A2837">
        <v>2831</v>
      </c>
      <c r="B2837">
        <v>102028</v>
      </c>
      <c r="C2837" t="s">
        <v>6231</v>
      </c>
      <c r="D2837" t="s">
        <v>180</v>
      </c>
      <c r="E2837" t="s">
        <v>6232</v>
      </c>
      <c r="F2837" t="str">
        <f>"00263313"</f>
        <v>00263313</v>
      </c>
      <c r="G2837" t="s">
        <v>47</v>
      </c>
      <c r="H2837" t="s">
        <v>48</v>
      </c>
      <c r="I2837">
        <v>1623</v>
      </c>
      <c r="J2837" t="s">
        <v>21</v>
      </c>
      <c r="K2837">
        <v>0</v>
      </c>
      <c r="M2837">
        <v>1788</v>
      </c>
    </row>
    <row r="2838" spans="1:13">
      <c r="A2838">
        <v>2832</v>
      </c>
      <c r="B2838">
        <v>72438</v>
      </c>
      <c r="C2838" t="s">
        <v>6233</v>
      </c>
      <c r="D2838" t="s">
        <v>105</v>
      </c>
      <c r="E2838" t="s">
        <v>6234</v>
      </c>
      <c r="F2838" t="str">
        <f>"00260774"</f>
        <v>00260774</v>
      </c>
      <c r="G2838" t="s">
        <v>1079</v>
      </c>
      <c r="H2838" t="s">
        <v>20</v>
      </c>
      <c r="I2838">
        <v>1433</v>
      </c>
      <c r="J2838" t="s">
        <v>21</v>
      </c>
      <c r="K2838">
        <v>0</v>
      </c>
      <c r="L2838" t="s">
        <v>59</v>
      </c>
      <c r="M2838">
        <v>1138</v>
      </c>
    </row>
    <row r="2839" spans="1:13">
      <c r="A2839">
        <v>2833</v>
      </c>
      <c r="B2839">
        <v>59067</v>
      </c>
      <c r="C2839" t="s">
        <v>6235</v>
      </c>
      <c r="D2839" t="s">
        <v>198</v>
      </c>
      <c r="E2839" t="s">
        <v>6236</v>
      </c>
      <c r="F2839" t="str">
        <f>"00023004"</f>
        <v>00023004</v>
      </c>
      <c r="G2839" t="s">
        <v>540</v>
      </c>
      <c r="H2839" t="s">
        <v>20</v>
      </c>
      <c r="I2839">
        <v>1435</v>
      </c>
      <c r="J2839" t="s">
        <v>21</v>
      </c>
      <c r="K2839">
        <v>0</v>
      </c>
      <c r="M2839">
        <v>1338</v>
      </c>
    </row>
    <row r="2840" spans="1:13">
      <c r="A2840">
        <v>2834</v>
      </c>
      <c r="B2840">
        <v>103236</v>
      </c>
      <c r="C2840" t="s">
        <v>6237</v>
      </c>
      <c r="D2840" t="s">
        <v>105</v>
      </c>
      <c r="E2840" t="s">
        <v>6238</v>
      </c>
      <c r="F2840" t="str">
        <f>"00378578"</f>
        <v>00378578</v>
      </c>
      <c r="G2840" t="s">
        <v>211</v>
      </c>
      <c r="H2840" t="s">
        <v>48</v>
      </c>
      <c r="I2840">
        <v>1628</v>
      </c>
      <c r="J2840" t="s">
        <v>21</v>
      </c>
      <c r="K2840">
        <v>0</v>
      </c>
      <c r="L2840" t="s">
        <v>35</v>
      </c>
      <c r="M2840">
        <v>900</v>
      </c>
    </row>
    <row r="2841" spans="1:13">
      <c r="A2841">
        <v>2835</v>
      </c>
      <c r="B2841">
        <v>98509</v>
      </c>
      <c r="C2841" t="s">
        <v>6239</v>
      </c>
      <c r="D2841" t="s">
        <v>145</v>
      </c>
      <c r="E2841" t="s">
        <v>6240</v>
      </c>
      <c r="F2841" t="str">
        <f>"00005564"</f>
        <v>00005564</v>
      </c>
      <c r="G2841" t="s">
        <v>600</v>
      </c>
      <c r="H2841" t="s">
        <v>366</v>
      </c>
      <c r="I2841">
        <v>1694</v>
      </c>
      <c r="J2841" t="s">
        <v>21</v>
      </c>
      <c r="K2841">
        <v>0</v>
      </c>
      <c r="L2841" t="s">
        <v>88</v>
      </c>
      <c r="M2841">
        <v>475</v>
      </c>
    </row>
    <row r="2842" spans="1:13">
      <c r="A2842">
        <v>2836</v>
      </c>
      <c r="B2842">
        <v>104401</v>
      </c>
      <c r="C2842" t="s">
        <v>6241</v>
      </c>
      <c r="D2842" t="s">
        <v>145</v>
      </c>
      <c r="E2842" t="s">
        <v>6242</v>
      </c>
      <c r="F2842" t="str">
        <f>"00388111"</f>
        <v>00388111</v>
      </c>
      <c r="G2842" t="s">
        <v>1387</v>
      </c>
      <c r="H2842" t="s">
        <v>20</v>
      </c>
      <c r="I2842">
        <v>1415</v>
      </c>
      <c r="J2842" t="s">
        <v>21</v>
      </c>
      <c r="K2842">
        <v>7</v>
      </c>
      <c r="M2842">
        <v>1260</v>
      </c>
    </row>
    <row r="2843" spans="1:13">
      <c r="A2843">
        <v>2837</v>
      </c>
      <c r="B2843">
        <v>96166</v>
      </c>
      <c r="C2843" t="s">
        <v>6243</v>
      </c>
      <c r="D2843" t="s">
        <v>80</v>
      </c>
      <c r="E2843" t="s">
        <v>6244</v>
      </c>
      <c r="F2843" t="str">
        <f>"00422148"</f>
        <v>00422148</v>
      </c>
      <c r="G2843" t="s">
        <v>883</v>
      </c>
      <c r="H2843" t="s">
        <v>270</v>
      </c>
      <c r="I2843">
        <v>1585</v>
      </c>
      <c r="J2843" t="s">
        <v>21</v>
      </c>
      <c r="K2843">
        <v>0</v>
      </c>
      <c r="L2843" t="s">
        <v>59</v>
      </c>
      <c r="M2843">
        <v>900</v>
      </c>
    </row>
    <row r="2844" spans="1:13">
      <c r="A2844">
        <v>2838</v>
      </c>
      <c r="B2844">
        <v>64407</v>
      </c>
      <c r="C2844" t="s">
        <v>6245</v>
      </c>
      <c r="D2844" t="s">
        <v>98</v>
      </c>
      <c r="E2844" t="s">
        <v>6246</v>
      </c>
      <c r="F2844" t="str">
        <f>"201511008463"</f>
        <v>201511008463</v>
      </c>
      <c r="G2844" t="s">
        <v>733</v>
      </c>
      <c r="H2844" t="s">
        <v>734</v>
      </c>
      <c r="I2844">
        <v>1596</v>
      </c>
      <c r="J2844" t="s">
        <v>21</v>
      </c>
      <c r="K2844">
        <v>0</v>
      </c>
      <c r="L2844" t="s">
        <v>35</v>
      </c>
      <c r="M2844">
        <v>908</v>
      </c>
    </row>
    <row r="2845" spans="1:13">
      <c r="A2845">
        <v>2839</v>
      </c>
      <c r="B2845">
        <v>56706</v>
      </c>
      <c r="C2845" t="s">
        <v>6247</v>
      </c>
      <c r="D2845" t="s">
        <v>76</v>
      </c>
      <c r="E2845" t="s">
        <v>6248</v>
      </c>
      <c r="F2845" t="str">
        <f>"00358226"</f>
        <v>00358226</v>
      </c>
      <c r="G2845" t="s">
        <v>371</v>
      </c>
      <c r="H2845" t="s">
        <v>20</v>
      </c>
      <c r="I2845">
        <v>1526</v>
      </c>
      <c r="J2845" t="s">
        <v>21</v>
      </c>
      <c r="K2845">
        <v>6</v>
      </c>
      <c r="L2845" t="s">
        <v>35</v>
      </c>
      <c r="M2845">
        <v>450</v>
      </c>
    </row>
    <row r="2846" spans="1:13">
      <c r="A2846">
        <v>2840</v>
      </c>
      <c r="B2846">
        <v>65650</v>
      </c>
      <c r="C2846" t="s">
        <v>6249</v>
      </c>
      <c r="D2846" t="s">
        <v>180</v>
      </c>
      <c r="E2846" t="s">
        <v>6250</v>
      </c>
      <c r="F2846" t="str">
        <f>"00364025"</f>
        <v>00364025</v>
      </c>
      <c r="G2846" t="s">
        <v>446</v>
      </c>
      <c r="H2846" t="s">
        <v>137</v>
      </c>
      <c r="I2846">
        <v>1602</v>
      </c>
      <c r="J2846" t="s">
        <v>21</v>
      </c>
      <c r="K2846">
        <v>0</v>
      </c>
      <c r="L2846" t="s">
        <v>59</v>
      </c>
      <c r="M2846">
        <v>853</v>
      </c>
    </row>
    <row r="2847" spans="1:13">
      <c r="A2847">
        <v>2841</v>
      </c>
      <c r="B2847">
        <v>84218</v>
      </c>
      <c r="C2847" t="s">
        <v>6251</v>
      </c>
      <c r="D2847" t="s">
        <v>105</v>
      </c>
      <c r="E2847" t="s">
        <v>6252</v>
      </c>
      <c r="F2847" t="str">
        <f>"00241741"</f>
        <v>00241741</v>
      </c>
      <c r="G2847" t="s">
        <v>155</v>
      </c>
      <c r="H2847" t="s">
        <v>156</v>
      </c>
      <c r="I2847">
        <v>1342</v>
      </c>
      <c r="J2847" t="s">
        <v>21</v>
      </c>
      <c r="K2847">
        <v>0</v>
      </c>
      <c r="M2847">
        <v>1528</v>
      </c>
    </row>
    <row r="2848" spans="1:13">
      <c r="A2848">
        <v>2842</v>
      </c>
      <c r="B2848">
        <v>62556</v>
      </c>
      <c r="C2848" t="s">
        <v>6253</v>
      </c>
      <c r="D2848" t="s">
        <v>243</v>
      </c>
      <c r="E2848" t="s">
        <v>6254</v>
      </c>
      <c r="F2848" t="str">
        <f>"00317764"</f>
        <v>00317764</v>
      </c>
      <c r="G2848" t="s">
        <v>2698</v>
      </c>
      <c r="H2848" t="s">
        <v>3640</v>
      </c>
      <c r="I2848">
        <v>1714</v>
      </c>
      <c r="J2848" t="s">
        <v>21</v>
      </c>
      <c r="K2848">
        <v>0</v>
      </c>
      <c r="L2848" t="s">
        <v>35</v>
      </c>
      <c r="M2848">
        <v>1000</v>
      </c>
    </row>
    <row r="2849" spans="1:13">
      <c r="A2849">
        <v>2843</v>
      </c>
      <c r="B2849">
        <v>70665</v>
      </c>
      <c r="C2849" t="s">
        <v>6255</v>
      </c>
      <c r="D2849" t="s">
        <v>102</v>
      </c>
      <c r="E2849" t="s">
        <v>6256</v>
      </c>
      <c r="F2849" t="str">
        <f>"00405090"</f>
        <v>00405090</v>
      </c>
      <c r="G2849" t="s">
        <v>883</v>
      </c>
      <c r="H2849" t="s">
        <v>270</v>
      </c>
      <c r="I2849">
        <v>1585</v>
      </c>
      <c r="J2849" t="s">
        <v>21</v>
      </c>
      <c r="K2849">
        <v>0</v>
      </c>
      <c r="M2849">
        <v>1388</v>
      </c>
    </row>
    <row r="2850" spans="1:13">
      <c r="A2850">
        <v>2844</v>
      </c>
      <c r="B2850">
        <v>65061</v>
      </c>
      <c r="C2850" t="s">
        <v>6257</v>
      </c>
      <c r="D2850" t="s">
        <v>2929</v>
      </c>
      <c r="E2850" t="s">
        <v>6258</v>
      </c>
      <c r="F2850" t="str">
        <f>"00264069"</f>
        <v>00264069</v>
      </c>
      <c r="G2850" t="s">
        <v>380</v>
      </c>
      <c r="H2850" t="s">
        <v>20</v>
      </c>
      <c r="I2850">
        <v>1496</v>
      </c>
      <c r="J2850" t="s">
        <v>21</v>
      </c>
      <c r="K2850">
        <v>0</v>
      </c>
      <c r="M2850">
        <v>1788</v>
      </c>
    </row>
    <row r="2851" spans="1:13">
      <c r="A2851">
        <v>2845</v>
      </c>
      <c r="B2851">
        <v>82742</v>
      </c>
      <c r="C2851" t="s">
        <v>6259</v>
      </c>
      <c r="D2851" t="s">
        <v>90</v>
      </c>
      <c r="E2851" t="s">
        <v>6260</v>
      </c>
      <c r="F2851" t="str">
        <f>"00397130"</f>
        <v>00397130</v>
      </c>
      <c r="G2851" t="s">
        <v>47</v>
      </c>
      <c r="H2851" t="s">
        <v>48</v>
      </c>
      <c r="I2851">
        <v>1623</v>
      </c>
      <c r="J2851" t="s">
        <v>21</v>
      </c>
      <c r="K2851">
        <v>0</v>
      </c>
      <c r="L2851" t="s">
        <v>88</v>
      </c>
      <c r="M2851">
        <v>508</v>
      </c>
    </row>
    <row r="2852" spans="1:13">
      <c r="A2852">
        <v>2846</v>
      </c>
      <c r="B2852">
        <v>72461</v>
      </c>
      <c r="C2852" t="s">
        <v>6261</v>
      </c>
      <c r="D2852" t="s">
        <v>153</v>
      </c>
      <c r="E2852" t="s">
        <v>6262</v>
      </c>
      <c r="F2852" t="str">
        <f>"00308516"</f>
        <v>00308516</v>
      </c>
      <c r="G2852" t="s">
        <v>1556</v>
      </c>
      <c r="H2852" t="s">
        <v>20</v>
      </c>
      <c r="I2852">
        <v>1530</v>
      </c>
      <c r="J2852" t="s">
        <v>21</v>
      </c>
      <c r="K2852">
        <v>0</v>
      </c>
      <c r="L2852" t="s">
        <v>88</v>
      </c>
      <c r="M2852">
        <v>658</v>
      </c>
    </row>
    <row r="2853" spans="1:13">
      <c r="A2853">
        <v>2847</v>
      </c>
      <c r="B2853">
        <v>46064</v>
      </c>
      <c r="C2853" t="s">
        <v>6263</v>
      </c>
      <c r="D2853" t="s">
        <v>566</v>
      </c>
      <c r="E2853" t="s">
        <v>6264</v>
      </c>
      <c r="F2853" t="str">
        <f>"201406004112"</f>
        <v>201406004112</v>
      </c>
      <c r="G2853" t="s">
        <v>24</v>
      </c>
      <c r="H2853" t="s">
        <v>20</v>
      </c>
      <c r="I2853">
        <v>1577</v>
      </c>
      <c r="J2853" t="s">
        <v>21</v>
      </c>
      <c r="K2853">
        <v>0</v>
      </c>
      <c r="M2853">
        <v>1353</v>
      </c>
    </row>
    <row r="2854" spans="1:13">
      <c r="A2854">
        <v>2848</v>
      </c>
      <c r="B2854">
        <v>65019</v>
      </c>
      <c r="C2854" t="s">
        <v>6265</v>
      </c>
      <c r="D2854" t="s">
        <v>105</v>
      </c>
      <c r="E2854" t="s">
        <v>6266</v>
      </c>
      <c r="F2854" t="str">
        <f>"00354313"</f>
        <v>00354313</v>
      </c>
      <c r="G2854" t="s">
        <v>955</v>
      </c>
      <c r="H2854" t="s">
        <v>48</v>
      </c>
      <c r="I2854">
        <v>1630</v>
      </c>
      <c r="J2854" t="s">
        <v>21</v>
      </c>
      <c r="K2854">
        <v>0</v>
      </c>
      <c r="L2854" t="s">
        <v>35</v>
      </c>
      <c r="M2854">
        <v>935</v>
      </c>
    </row>
    <row r="2855" spans="1:13">
      <c r="A2855">
        <v>2849</v>
      </c>
      <c r="B2855">
        <v>66477</v>
      </c>
      <c r="C2855" t="s">
        <v>6267</v>
      </c>
      <c r="D2855" t="s">
        <v>105</v>
      </c>
      <c r="E2855" t="s">
        <v>6268</v>
      </c>
      <c r="F2855" t="str">
        <f>"00147637"</f>
        <v>00147637</v>
      </c>
      <c r="G2855" t="s">
        <v>125</v>
      </c>
      <c r="H2855" t="s">
        <v>20</v>
      </c>
      <c r="I2855">
        <v>1507</v>
      </c>
      <c r="J2855" t="s">
        <v>21</v>
      </c>
      <c r="K2855">
        <v>0</v>
      </c>
      <c r="L2855" t="s">
        <v>35</v>
      </c>
      <c r="M2855">
        <v>1100</v>
      </c>
    </row>
    <row r="2856" spans="1:13">
      <c r="A2856">
        <v>2850</v>
      </c>
      <c r="B2856">
        <v>74479</v>
      </c>
      <c r="C2856" t="s">
        <v>6269</v>
      </c>
      <c r="D2856" t="s">
        <v>130</v>
      </c>
      <c r="E2856" t="s">
        <v>6270</v>
      </c>
      <c r="F2856" t="str">
        <f>"201601000067"</f>
        <v>201601000067</v>
      </c>
      <c r="G2856" t="s">
        <v>437</v>
      </c>
      <c r="H2856" t="s">
        <v>738</v>
      </c>
      <c r="I2856">
        <v>1646</v>
      </c>
      <c r="J2856" t="s">
        <v>21</v>
      </c>
      <c r="K2856">
        <v>0</v>
      </c>
      <c r="M2856">
        <v>1398</v>
      </c>
    </row>
    <row r="2857" spans="1:13">
      <c r="A2857">
        <v>2851</v>
      </c>
      <c r="B2857">
        <v>64279</v>
      </c>
      <c r="C2857" t="s">
        <v>6271</v>
      </c>
      <c r="D2857" t="s">
        <v>121</v>
      </c>
      <c r="E2857" t="s">
        <v>6272</v>
      </c>
      <c r="F2857" t="str">
        <f>"00358915"</f>
        <v>00358915</v>
      </c>
      <c r="G2857" t="s">
        <v>718</v>
      </c>
      <c r="H2857" t="s">
        <v>48</v>
      </c>
      <c r="I2857">
        <v>1625</v>
      </c>
      <c r="J2857" t="s">
        <v>21</v>
      </c>
      <c r="K2857">
        <v>0</v>
      </c>
      <c r="L2857" t="s">
        <v>35</v>
      </c>
      <c r="M2857">
        <v>1119</v>
      </c>
    </row>
    <row r="2858" spans="1:13">
      <c r="A2858">
        <v>2852</v>
      </c>
      <c r="B2858">
        <v>94135</v>
      </c>
      <c r="C2858" t="s">
        <v>6273</v>
      </c>
      <c r="D2858" t="s">
        <v>80</v>
      </c>
      <c r="E2858" t="s">
        <v>6274</v>
      </c>
      <c r="F2858" t="str">
        <f>"00306058"</f>
        <v>00306058</v>
      </c>
      <c r="G2858" t="s">
        <v>3398</v>
      </c>
      <c r="H2858" t="s">
        <v>20</v>
      </c>
      <c r="I2858">
        <v>1518</v>
      </c>
      <c r="J2858" t="s">
        <v>21</v>
      </c>
      <c r="K2858">
        <v>7</v>
      </c>
      <c r="L2858" t="s">
        <v>35</v>
      </c>
      <c r="M2858">
        <v>908</v>
      </c>
    </row>
    <row r="2859" spans="1:13">
      <c r="A2859">
        <v>2853</v>
      </c>
      <c r="B2859">
        <v>71377</v>
      </c>
      <c r="C2859" t="s">
        <v>6275</v>
      </c>
      <c r="D2859" t="s">
        <v>598</v>
      </c>
      <c r="E2859" t="s">
        <v>6276</v>
      </c>
      <c r="F2859" t="str">
        <f>"201511019723"</f>
        <v>201511019723</v>
      </c>
      <c r="G2859" t="s">
        <v>107</v>
      </c>
      <c r="H2859" t="s">
        <v>20</v>
      </c>
      <c r="I2859">
        <v>1472</v>
      </c>
      <c r="J2859" t="s">
        <v>21</v>
      </c>
      <c r="K2859">
        <v>0</v>
      </c>
      <c r="M2859">
        <v>1388</v>
      </c>
    </row>
    <row r="2860" spans="1:13">
      <c r="A2860">
        <v>2854</v>
      </c>
      <c r="B2860">
        <v>109278</v>
      </c>
      <c r="C2860" t="s">
        <v>6277</v>
      </c>
      <c r="D2860" t="s">
        <v>218</v>
      </c>
      <c r="E2860" t="s">
        <v>6278</v>
      </c>
      <c r="F2860" t="str">
        <f>"00381022"</f>
        <v>00381022</v>
      </c>
      <c r="G2860" t="s">
        <v>150</v>
      </c>
      <c r="H2860" t="s">
        <v>151</v>
      </c>
      <c r="I2860">
        <v>1699</v>
      </c>
      <c r="J2860" t="s">
        <v>21</v>
      </c>
      <c r="K2860">
        <v>0</v>
      </c>
      <c r="L2860" t="s">
        <v>35</v>
      </c>
      <c r="M2860">
        <v>875</v>
      </c>
    </row>
    <row r="2861" spans="1:13">
      <c r="A2861">
        <v>2855</v>
      </c>
      <c r="B2861">
        <v>58379</v>
      </c>
      <c r="C2861" t="s">
        <v>6279</v>
      </c>
      <c r="D2861" t="s">
        <v>76</v>
      </c>
      <c r="E2861" t="s">
        <v>6280</v>
      </c>
      <c r="F2861" t="str">
        <f>"00361383"</f>
        <v>00361383</v>
      </c>
      <c r="G2861" t="s">
        <v>883</v>
      </c>
      <c r="H2861" t="s">
        <v>270</v>
      </c>
      <c r="I2861">
        <v>1585</v>
      </c>
      <c r="J2861" t="s">
        <v>21</v>
      </c>
      <c r="K2861">
        <v>0</v>
      </c>
      <c r="M2861">
        <v>1388</v>
      </c>
    </row>
    <row r="2862" spans="1:13">
      <c r="A2862">
        <v>2856</v>
      </c>
      <c r="B2862">
        <v>96456</v>
      </c>
      <c r="C2862" t="s">
        <v>6281</v>
      </c>
      <c r="D2862" t="s">
        <v>145</v>
      </c>
      <c r="E2862" t="s">
        <v>6282</v>
      </c>
      <c r="F2862" t="str">
        <f>"00417698"</f>
        <v>00417698</v>
      </c>
      <c r="G2862" t="s">
        <v>2440</v>
      </c>
      <c r="H2862" t="s">
        <v>20</v>
      </c>
      <c r="I2862">
        <v>1567</v>
      </c>
      <c r="J2862" t="s">
        <v>21</v>
      </c>
      <c r="K2862">
        <v>0</v>
      </c>
      <c r="M2862">
        <v>1522</v>
      </c>
    </row>
    <row r="2863" spans="1:13">
      <c r="A2863">
        <v>2857</v>
      </c>
      <c r="B2863">
        <v>64884</v>
      </c>
      <c r="C2863" t="s">
        <v>6283</v>
      </c>
      <c r="D2863" t="s">
        <v>76</v>
      </c>
      <c r="E2863" t="s">
        <v>6284</v>
      </c>
      <c r="F2863" t="str">
        <f>"00075116"</f>
        <v>00075116</v>
      </c>
      <c r="G2863" t="s">
        <v>856</v>
      </c>
      <c r="H2863" t="s">
        <v>857</v>
      </c>
      <c r="I2863">
        <v>1661</v>
      </c>
      <c r="J2863" t="s">
        <v>21</v>
      </c>
      <c r="K2863">
        <v>0</v>
      </c>
      <c r="M2863">
        <v>1488</v>
      </c>
    </row>
    <row r="2864" spans="1:13">
      <c r="A2864">
        <v>2858</v>
      </c>
      <c r="B2864">
        <v>66609</v>
      </c>
      <c r="C2864" t="s">
        <v>6285</v>
      </c>
      <c r="D2864" t="s">
        <v>65</v>
      </c>
      <c r="E2864" t="s">
        <v>6286</v>
      </c>
      <c r="F2864" t="str">
        <f>"00374981"</f>
        <v>00374981</v>
      </c>
      <c r="G2864" t="s">
        <v>170</v>
      </c>
      <c r="H2864" t="s">
        <v>20</v>
      </c>
      <c r="I2864">
        <v>1412</v>
      </c>
      <c r="J2864" t="s">
        <v>21</v>
      </c>
      <c r="K2864">
        <v>0</v>
      </c>
      <c r="M2864">
        <v>1468</v>
      </c>
    </row>
    <row r="2865" spans="1:13">
      <c r="A2865">
        <v>2859</v>
      </c>
      <c r="B2865">
        <v>90889</v>
      </c>
      <c r="C2865" t="s">
        <v>6287</v>
      </c>
      <c r="D2865" t="s">
        <v>121</v>
      </c>
      <c r="E2865" t="s">
        <v>6288</v>
      </c>
      <c r="F2865" t="str">
        <f>"00390143"</f>
        <v>00390143</v>
      </c>
      <c r="G2865" t="s">
        <v>610</v>
      </c>
      <c r="H2865" t="s">
        <v>20</v>
      </c>
      <c r="I2865">
        <v>1429</v>
      </c>
      <c r="J2865" t="s">
        <v>21</v>
      </c>
      <c r="K2865">
        <v>0</v>
      </c>
      <c r="L2865" t="s">
        <v>35</v>
      </c>
      <c r="M2865">
        <v>908</v>
      </c>
    </row>
    <row r="2866" spans="1:13">
      <c r="A2866">
        <v>2860</v>
      </c>
      <c r="B2866">
        <v>79065</v>
      </c>
      <c r="C2866" t="s">
        <v>6289</v>
      </c>
      <c r="D2866" t="s">
        <v>105</v>
      </c>
      <c r="E2866" t="s">
        <v>6290</v>
      </c>
      <c r="F2866" t="str">
        <f>"200812000605"</f>
        <v>200812000605</v>
      </c>
      <c r="G2866" t="s">
        <v>125</v>
      </c>
      <c r="H2866" t="s">
        <v>20</v>
      </c>
      <c r="I2866">
        <v>1507</v>
      </c>
      <c r="J2866" t="s">
        <v>21</v>
      </c>
      <c r="K2866">
        <v>0</v>
      </c>
      <c r="L2866" t="s">
        <v>401</v>
      </c>
      <c r="M2866">
        <v>1002</v>
      </c>
    </row>
    <row r="2867" spans="1:13">
      <c r="A2867">
        <v>2861</v>
      </c>
      <c r="B2867">
        <v>107473</v>
      </c>
      <c r="C2867" t="s">
        <v>6291</v>
      </c>
      <c r="D2867" t="s">
        <v>90</v>
      </c>
      <c r="E2867" t="s">
        <v>6292</v>
      </c>
      <c r="F2867" t="str">
        <f>"00410445"</f>
        <v>00410445</v>
      </c>
      <c r="G2867" t="s">
        <v>1239</v>
      </c>
      <c r="H2867" t="s">
        <v>1296</v>
      </c>
      <c r="I2867">
        <v>1638</v>
      </c>
      <c r="J2867" t="s">
        <v>21</v>
      </c>
      <c r="K2867">
        <v>0</v>
      </c>
      <c r="L2867" t="s">
        <v>83</v>
      </c>
      <c r="M2867">
        <v>1325</v>
      </c>
    </row>
    <row r="2868" spans="1:13">
      <c r="A2868">
        <v>2862</v>
      </c>
      <c r="B2868">
        <v>63190</v>
      </c>
      <c r="C2868" t="s">
        <v>6293</v>
      </c>
      <c r="D2868" t="s">
        <v>109</v>
      </c>
      <c r="E2868" t="s">
        <v>6294</v>
      </c>
      <c r="F2868" t="str">
        <f>"201411000466"</f>
        <v>201411000466</v>
      </c>
      <c r="G2868" t="s">
        <v>19</v>
      </c>
      <c r="H2868" t="s">
        <v>20</v>
      </c>
      <c r="I2868">
        <v>1531</v>
      </c>
      <c r="J2868" t="s">
        <v>21</v>
      </c>
      <c r="K2868">
        <v>0</v>
      </c>
      <c r="M2868">
        <v>1338</v>
      </c>
    </row>
    <row r="2869" spans="1:13">
      <c r="A2869">
        <v>2863</v>
      </c>
      <c r="B2869">
        <v>64907</v>
      </c>
      <c r="C2869" t="s">
        <v>6295</v>
      </c>
      <c r="D2869" t="s">
        <v>1001</v>
      </c>
      <c r="E2869" t="s">
        <v>6296</v>
      </c>
      <c r="F2869" t="str">
        <f>"00021809"</f>
        <v>00021809</v>
      </c>
      <c r="G2869" t="s">
        <v>691</v>
      </c>
      <c r="H2869" t="s">
        <v>241</v>
      </c>
      <c r="I2869">
        <v>1360</v>
      </c>
      <c r="J2869" t="s">
        <v>21</v>
      </c>
      <c r="K2869">
        <v>0</v>
      </c>
      <c r="L2869" t="s">
        <v>35</v>
      </c>
      <c r="M2869">
        <v>936</v>
      </c>
    </row>
    <row r="2870" spans="1:13">
      <c r="A2870">
        <v>2864</v>
      </c>
      <c r="B2870">
        <v>53847</v>
      </c>
      <c r="C2870" t="s">
        <v>6297</v>
      </c>
      <c r="D2870" t="s">
        <v>121</v>
      </c>
      <c r="E2870" t="s">
        <v>6298</v>
      </c>
      <c r="F2870" t="str">
        <f>"00349347"</f>
        <v>00349347</v>
      </c>
      <c r="G2870" t="s">
        <v>230</v>
      </c>
      <c r="H2870" t="s">
        <v>20</v>
      </c>
      <c r="I2870">
        <v>1545</v>
      </c>
      <c r="J2870" t="s">
        <v>21</v>
      </c>
      <c r="K2870">
        <v>0</v>
      </c>
      <c r="L2870" t="s">
        <v>88</v>
      </c>
      <c r="M2870">
        <v>734</v>
      </c>
    </row>
    <row r="2871" spans="1:13">
      <c r="A2871">
        <v>2865</v>
      </c>
      <c r="B2871">
        <v>84383</v>
      </c>
      <c r="C2871" t="s">
        <v>6299</v>
      </c>
      <c r="D2871" t="s">
        <v>109</v>
      </c>
      <c r="E2871" t="s">
        <v>6300</v>
      </c>
      <c r="F2871" t="str">
        <f>"00358964"</f>
        <v>00358964</v>
      </c>
      <c r="G2871" t="s">
        <v>278</v>
      </c>
      <c r="H2871" t="s">
        <v>20</v>
      </c>
      <c r="I2871">
        <v>1441</v>
      </c>
      <c r="J2871" t="s">
        <v>21</v>
      </c>
      <c r="K2871">
        <v>0</v>
      </c>
      <c r="L2871" t="s">
        <v>59</v>
      </c>
      <c r="M2871">
        <v>878</v>
      </c>
    </row>
    <row r="2872" spans="1:13">
      <c r="A2872">
        <v>2866</v>
      </c>
      <c r="B2872">
        <v>72796</v>
      </c>
      <c r="C2872" t="s">
        <v>6301</v>
      </c>
      <c r="D2872" t="s">
        <v>94</v>
      </c>
      <c r="E2872" t="s">
        <v>6302</v>
      </c>
      <c r="F2872" t="str">
        <f>"201512005009"</f>
        <v>201512005009</v>
      </c>
      <c r="G2872" t="s">
        <v>125</v>
      </c>
      <c r="H2872" t="s">
        <v>20</v>
      </c>
      <c r="I2872">
        <v>1507</v>
      </c>
      <c r="J2872" t="s">
        <v>21</v>
      </c>
      <c r="K2872">
        <v>0</v>
      </c>
      <c r="L2872" t="s">
        <v>59</v>
      </c>
      <c r="M2872">
        <v>1038</v>
      </c>
    </row>
    <row r="2873" spans="1:13">
      <c r="A2873">
        <v>2867</v>
      </c>
      <c r="B2873">
        <v>53519</v>
      </c>
      <c r="C2873" t="s">
        <v>6303</v>
      </c>
      <c r="D2873" t="s">
        <v>243</v>
      </c>
      <c r="E2873" t="s">
        <v>6304</v>
      </c>
      <c r="F2873" t="str">
        <f>"00256776"</f>
        <v>00256776</v>
      </c>
      <c r="G2873" t="s">
        <v>107</v>
      </c>
      <c r="H2873" t="s">
        <v>20</v>
      </c>
      <c r="I2873">
        <v>1472</v>
      </c>
      <c r="J2873" t="s">
        <v>21</v>
      </c>
      <c r="K2873">
        <v>0</v>
      </c>
      <c r="L2873" t="s">
        <v>35</v>
      </c>
      <c r="M2873">
        <v>908</v>
      </c>
    </row>
    <row r="2874" spans="1:13">
      <c r="A2874">
        <v>2868</v>
      </c>
      <c r="B2874">
        <v>63583</v>
      </c>
      <c r="C2874" t="s">
        <v>6305</v>
      </c>
      <c r="D2874" t="s">
        <v>205</v>
      </c>
      <c r="E2874" t="s">
        <v>6306</v>
      </c>
      <c r="F2874" t="str">
        <f>"00015654"</f>
        <v>00015654</v>
      </c>
      <c r="G2874" t="s">
        <v>713</v>
      </c>
      <c r="H2874" t="s">
        <v>366</v>
      </c>
      <c r="I2874">
        <v>1690</v>
      </c>
      <c r="J2874" t="s">
        <v>21</v>
      </c>
      <c r="K2874">
        <v>0</v>
      </c>
      <c r="M2874">
        <v>1488</v>
      </c>
    </row>
    <row r="2875" spans="1:13">
      <c r="A2875">
        <v>2869</v>
      </c>
      <c r="B2875">
        <v>48399</v>
      </c>
      <c r="C2875" t="s">
        <v>6307</v>
      </c>
      <c r="D2875" t="s">
        <v>85</v>
      </c>
      <c r="E2875" t="s">
        <v>6308</v>
      </c>
      <c r="F2875" t="str">
        <f>"00260131"</f>
        <v>00260131</v>
      </c>
      <c r="G2875" t="s">
        <v>63</v>
      </c>
      <c r="H2875" t="s">
        <v>20</v>
      </c>
      <c r="I2875">
        <v>1576</v>
      </c>
      <c r="J2875" t="s">
        <v>21</v>
      </c>
      <c r="K2875">
        <v>0</v>
      </c>
      <c r="M2875">
        <v>1428</v>
      </c>
    </row>
    <row r="2876" spans="1:13">
      <c r="A2876">
        <v>2870</v>
      </c>
      <c r="B2876">
        <v>92805</v>
      </c>
      <c r="C2876" t="s">
        <v>6309</v>
      </c>
      <c r="D2876" t="s">
        <v>121</v>
      </c>
      <c r="E2876" t="s">
        <v>6310</v>
      </c>
      <c r="F2876" t="str">
        <f>"00399476"</f>
        <v>00399476</v>
      </c>
      <c r="G2876" t="s">
        <v>3368</v>
      </c>
      <c r="H2876" t="s">
        <v>20</v>
      </c>
      <c r="I2876">
        <v>1452</v>
      </c>
      <c r="J2876" t="s">
        <v>21</v>
      </c>
      <c r="K2876">
        <v>0</v>
      </c>
      <c r="M2876">
        <v>1415</v>
      </c>
    </row>
    <row r="2877" spans="1:13">
      <c r="A2877">
        <v>2871</v>
      </c>
      <c r="B2877">
        <v>66364</v>
      </c>
      <c r="C2877" t="s">
        <v>6311</v>
      </c>
      <c r="D2877" t="s">
        <v>105</v>
      </c>
      <c r="E2877" t="s">
        <v>6312</v>
      </c>
      <c r="F2877" t="str">
        <f>"00384678"</f>
        <v>00384678</v>
      </c>
      <c r="G2877" t="s">
        <v>4452</v>
      </c>
      <c r="H2877" t="s">
        <v>274</v>
      </c>
      <c r="I2877">
        <v>1393</v>
      </c>
      <c r="J2877" t="s">
        <v>21</v>
      </c>
      <c r="K2877">
        <v>0</v>
      </c>
      <c r="L2877" t="s">
        <v>59</v>
      </c>
      <c r="M2877">
        <v>1186</v>
      </c>
    </row>
    <row r="2878" spans="1:13">
      <c r="A2878">
        <v>2872</v>
      </c>
      <c r="B2878">
        <v>71443</v>
      </c>
      <c r="C2878" t="s">
        <v>6313</v>
      </c>
      <c r="D2878" t="s">
        <v>76</v>
      </c>
      <c r="E2878" t="s">
        <v>6314</v>
      </c>
      <c r="F2878" t="str">
        <f>"00384968"</f>
        <v>00384968</v>
      </c>
      <c r="G2878" t="s">
        <v>233</v>
      </c>
      <c r="H2878" t="s">
        <v>2515</v>
      </c>
      <c r="I2878">
        <v>1349</v>
      </c>
      <c r="J2878" t="s">
        <v>21</v>
      </c>
      <c r="K2878">
        <v>6</v>
      </c>
      <c r="M2878">
        <v>1028</v>
      </c>
    </row>
    <row r="2879" spans="1:13">
      <c r="A2879">
        <v>2873</v>
      </c>
      <c r="B2879">
        <v>59663</v>
      </c>
      <c r="C2879" t="s">
        <v>6315</v>
      </c>
      <c r="D2879" t="s">
        <v>145</v>
      </c>
      <c r="E2879" t="s">
        <v>6316</v>
      </c>
      <c r="F2879" t="str">
        <f>"00377187"</f>
        <v>00377187</v>
      </c>
      <c r="G2879" t="s">
        <v>418</v>
      </c>
      <c r="H2879" t="s">
        <v>234</v>
      </c>
      <c r="I2879">
        <v>1335</v>
      </c>
      <c r="J2879" t="s">
        <v>21</v>
      </c>
      <c r="K2879">
        <v>6</v>
      </c>
      <c r="L2879" t="s">
        <v>35</v>
      </c>
      <c r="M2879">
        <v>1008</v>
      </c>
    </row>
    <row r="2880" spans="1:13">
      <c r="A2880">
        <v>2874</v>
      </c>
      <c r="B2880">
        <v>88102</v>
      </c>
      <c r="C2880" t="s">
        <v>6317</v>
      </c>
      <c r="D2880" t="s">
        <v>2158</v>
      </c>
      <c r="E2880" t="s">
        <v>6318</v>
      </c>
      <c r="F2880" t="str">
        <f>"00416887"</f>
        <v>00416887</v>
      </c>
      <c r="G2880" t="s">
        <v>38</v>
      </c>
      <c r="H2880" t="s">
        <v>39</v>
      </c>
      <c r="I2880">
        <v>1634</v>
      </c>
      <c r="J2880" t="s">
        <v>21</v>
      </c>
      <c r="K2880">
        <v>6</v>
      </c>
      <c r="M2880">
        <v>1108</v>
      </c>
    </row>
    <row r="2881" spans="1:13">
      <c r="A2881">
        <v>2875</v>
      </c>
      <c r="B2881">
        <v>96643</v>
      </c>
      <c r="C2881" t="s">
        <v>6319</v>
      </c>
      <c r="D2881" t="s">
        <v>80</v>
      </c>
      <c r="E2881" t="s">
        <v>6320</v>
      </c>
      <c r="F2881" t="str">
        <f>"00258916"</f>
        <v>00258916</v>
      </c>
      <c r="G2881" t="s">
        <v>1695</v>
      </c>
      <c r="H2881" t="s">
        <v>20</v>
      </c>
      <c r="I2881">
        <v>1533</v>
      </c>
      <c r="J2881" t="s">
        <v>21</v>
      </c>
      <c r="K2881">
        <v>0</v>
      </c>
      <c r="L2881" t="s">
        <v>35</v>
      </c>
      <c r="M2881">
        <v>1099</v>
      </c>
    </row>
    <row r="2882" spans="1:13">
      <c r="A2882">
        <v>2876</v>
      </c>
      <c r="B2882">
        <v>110136</v>
      </c>
      <c r="C2882" t="s">
        <v>6321</v>
      </c>
      <c r="D2882" t="s">
        <v>105</v>
      </c>
      <c r="E2882" t="s">
        <v>6322</v>
      </c>
      <c r="F2882" t="str">
        <f>"00101412"</f>
        <v>00101412</v>
      </c>
      <c r="G2882" t="s">
        <v>47</v>
      </c>
      <c r="H2882" t="s">
        <v>48</v>
      </c>
      <c r="I2882">
        <v>1623</v>
      </c>
      <c r="J2882" t="s">
        <v>21</v>
      </c>
      <c r="K2882">
        <v>0</v>
      </c>
      <c r="L2882" t="s">
        <v>59</v>
      </c>
      <c r="M2882">
        <v>1138</v>
      </c>
    </row>
    <row r="2883" spans="1:13">
      <c r="A2883">
        <v>2877</v>
      </c>
      <c r="B2883">
        <v>101711</v>
      </c>
      <c r="C2883" t="s">
        <v>6323</v>
      </c>
      <c r="D2883" t="s">
        <v>80</v>
      </c>
      <c r="E2883" t="s">
        <v>6324</v>
      </c>
      <c r="F2883" t="str">
        <f>"201512005539"</f>
        <v>201512005539</v>
      </c>
      <c r="G2883" t="s">
        <v>1321</v>
      </c>
      <c r="H2883" t="s">
        <v>234</v>
      </c>
      <c r="I2883">
        <v>1330</v>
      </c>
      <c r="J2883" t="s">
        <v>21</v>
      </c>
      <c r="K2883">
        <v>0</v>
      </c>
      <c r="M2883">
        <v>1434</v>
      </c>
    </row>
    <row r="2884" spans="1:13">
      <c r="A2884">
        <v>2878</v>
      </c>
      <c r="B2884">
        <v>114760</v>
      </c>
      <c r="C2884" t="s">
        <v>6325</v>
      </c>
      <c r="D2884" t="s">
        <v>163</v>
      </c>
      <c r="E2884" t="s">
        <v>6326</v>
      </c>
      <c r="F2884" t="str">
        <f>"00079583"</f>
        <v>00079583</v>
      </c>
      <c r="G2884" t="s">
        <v>226</v>
      </c>
      <c r="H2884" t="s">
        <v>20</v>
      </c>
      <c r="I2884">
        <v>1510</v>
      </c>
      <c r="J2884" t="s">
        <v>21</v>
      </c>
      <c r="K2884">
        <v>0</v>
      </c>
      <c r="M2884">
        <v>1388</v>
      </c>
    </row>
    <row r="2885" spans="1:13">
      <c r="A2885">
        <v>2879</v>
      </c>
      <c r="B2885">
        <v>69489</v>
      </c>
      <c r="C2885" t="s">
        <v>6327</v>
      </c>
      <c r="D2885" t="s">
        <v>566</v>
      </c>
      <c r="E2885" t="s">
        <v>6328</v>
      </c>
      <c r="F2885" t="str">
        <f>"00388809"</f>
        <v>00388809</v>
      </c>
      <c r="G2885" t="s">
        <v>107</v>
      </c>
      <c r="H2885" t="s">
        <v>20</v>
      </c>
      <c r="I2885">
        <v>1472</v>
      </c>
      <c r="J2885" t="s">
        <v>21</v>
      </c>
      <c r="K2885">
        <v>0</v>
      </c>
      <c r="L2885" t="s">
        <v>35</v>
      </c>
      <c r="M2885">
        <v>1058</v>
      </c>
    </row>
    <row r="2886" spans="1:13">
      <c r="A2886">
        <v>2880</v>
      </c>
      <c r="B2886">
        <v>62107</v>
      </c>
      <c r="C2886" t="s">
        <v>6329</v>
      </c>
      <c r="D2886" t="s">
        <v>243</v>
      </c>
      <c r="E2886" t="s">
        <v>6330</v>
      </c>
      <c r="F2886" t="str">
        <f>"00367850"</f>
        <v>00367850</v>
      </c>
      <c r="G2886" t="s">
        <v>111</v>
      </c>
      <c r="H2886" t="s">
        <v>48</v>
      </c>
      <c r="I2886">
        <v>1620</v>
      </c>
      <c r="J2886" t="s">
        <v>21</v>
      </c>
      <c r="K2886">
        <v>0</v>
      </c>
      <c r="M2886">
        <v>1338</v>
      </c>
    </row>
    <row r="2887" spans="1:13">
      <c r="A2887">
        <v>2881</v>
      </c>
      <c r="B2887">
        <v>96408</v>
      </c>
      <c r="C2887" t="s">
        <v>6331</v>
      </c>
      <c r="D2887" t="s">
        <v>180</v>
      </c>
      <c r="E2887" t="s">
        <v>6332</v>
      </c>
      <c r="F2887" t="str">
        <f>"00407012"</f>
        <v>00407012</v>
      </c>
      <c r="G2887" t="s">
        <v>107</v>
      </c>
      <c r="H2887" t="s">
        <v>20</v>
      </c>
      <c r="I2887">
        <v>1472</v>
      </c>
      <c r="J2887" t="s">
        <v>21</v>
      </c>
      <c r="K2887">
        <v>0</v>
      </c>
      <c r="L2887" t="s">
        <v>35</v>
      </c>
      <c r="M2887">
        <v>908</v>
      </c>
    </row>
    <row r="2888" spans="1:13">
      <c r="A2888">
        <v>2882</v>
      </c>
      <c r="B2888">
        <v>63765</v>
      </c>
      <c r="C2888" t="s">
        <v>6331</v>
      </c>
      <c r="D2888" t="s">
        <v>243</v>
      </c>
      <c r="E2888" t="s">
        <v>6333</v>
      </c>
      <c r="F2888" t="str">
        <f>"201511006822"</f>
        <v>201511006822</v>
      </c>
      <c r="G2888" t="s">
        <v>107</v>
      </c>
      <c r="H2888" t="s">
        <v>20</v>
      </c>
      <c r="I2888">
        <v>1472</v>
      </c>
      <c r="J2888" t="s">
        <v>21</v>
      </c>
      <c r="K2888">
        <v>0</v>
      </c>
      <c r="L2888" t="s">
        <v>83</v>
      </c>
      <c r="M2888">
        <v>1288</v>
      </c>
    </row>
    <row r="2889" spans="1:13">
      <c r="A2889">
        <v>2883</v>
      </c>
      <c r="B2889">
        <v>71269</v>
      </c>
      <c r="C2889" t="s">
        <v>6334</v>
      </c>
      <c r="D2889" t="s">
        <v>441</v>
      </c>
      <c r="E2889" t="s">
        <v>6335</v>
      </c>
      <c r="F2889" t="str">
        <f>"201511016978"</f>
        <v>201511016978</v>
      </c>
      <c r="G2889" t="s">
        <v>1321</v>
      </c>
      <c r="H2889" t="s">
        <v>234</v>
      </c>
      <c r="I2889">
        <v>1330</v>
      </c>
      <c r="J2889" t="s">
        <v>21</v>
      </c>
      <c r="K2889">
        <v>0</v>
      </c>
      <c r="M2889">
        <v>1648</v>
      </c>
    </row>
    <row r="2890" spans="1:13">
      <c r="A2890">
        <v>2884</v>
      </c>
      <c r="B2890">
        <v>60287</v>
      </c>
      <c r="C2890" t="s">
        <v>6336</v>
      </c>
      <c r="D2890" t="s">
        <v>94</v>
      </c>
      <c r="E2890" t="s">
        <v>6337</v>
      </c>
      <c r="F2890" t="str">
        <f>"00279829"</f>
        <v>00279829</v>
      </c>
      <c r="G2890" t="s">
        <v>24</v>
      </c>
      <c r="H2890" t="s">
        <v>20</v>
      </c>
      <c r="I2890">
        <v>1577</v>
      </c>
      <c r="J2890" t="s">
        <v>21</v>
      </c>
      <c r="K2890">
        <v>0</v>
      </c>
      <c r="L2890" t="s">
        <v>35</v>
      </c>
      <c r="M2890">
        <v>900</v>
      </c>
    </row>
    <row r="2891" spans="1:13">
      <c r="A2891">
        <v>2885</v>
      </c>
      <c r="B2891">
        <v>62963</v>
      </c>
      <c r="C2891" t="s">
        <v>6336</v>
      </c>
      <c r="D2891" t="s">
        <v>76</v>
      </c>
      <c r="E2891" t="s">
        <v>6338</v>
      </c>
      <c r="F2891" t="str">
        <f>"00298949"</f>
        <v>00298949</v>
      </c>
      <c r="G2891" t="s">
        <v>974</v>
      </c>
      <c r="H2891" t="s">
        <v>20</v>
      </c>
      <c r="I2891">
        <v>1449</v>
      </c>
      <c r="J2891" t="s">
        <v>21</v>
      </c>
      <c r="K2891">
        <v>6</v>
      </c>
      <c r="L2891" t="s">
        <v>35</v>
      </c>
      <c r="M2891">
        <v>805</v>
      </c>
    </row>
    <row r="2892" spans="1:13">
      <c r="A2892">
        <v>2886</v>
      </c>
      <c r="B2892">
        <v>56219</v>
      </c>
      <c r="C2892" t="s">
        <v>6339</v>
      </c>
      <c r="D2892" t="s">
        <v>80</v>
      </c>
      <c r="E2892" t="s">
        <v>6340</v>
      </c>
      <c r="F2892" t="str">
        <f>"00370167"</f>
        <v>00370167</v>
      </c>
      <c r="G2892" t="s">
        <v>107</v>
      </c>
      <c r="H2892" t="s">
        <v>20</v>
      </c>
      <c r="I2892">
        <v>1472</v>
      </c>
      <c r="J2892" t="s">
        <v>21</v>
      </c>
      <c r="K2892">
        <v>0</v>
      </c>
      <c r="L2892" t="s">
        <v>35</v>
      </c>
      <c r="M2892">
        <v>972</v>
      </c>
    </row>
    <row r="2893" spans="1:13">
      <c r="A2893">
        <v>2887</v>
      </c>
      <c r="B2893">
        <v>53521</v>
      </c>
      <c r="C2893" t="s">
        <v>6341</v>
      </c>
      <c r="D2893" t="s">
        <v>205</v>
      </c>
      <c r="E2893" t="s">
        <v>6342</v>
      </c>
      <c r="F2893" t="str">
        <f>"00344280"</f>
        <v>00344280</v>
      </c>
      <c r="G2893" t="s">
        <v>29</v>
      </c>
      <c r="H2893" t="s">
        <v>20</v>
      </c>
      <c r="I2893">
        <v>1446</v>
      </c>
      <c r="J2893" t="s">
        <v>21</v>
      </c>
      <c r="K2893">
        <v>0</v>
      </c>
      <c r="M2893">
        <v>1388</v>
      </c>
    </row>
    <row r="2894" spans="1:13">
      <c r="A2894">
        <v>2888</v>
      </c>
      <c r="B2894">
        <v>83640</v>
      </c>
      <c r="C2894" t="s">
        <v>6343</v>
      </c>
      <c r="D2894" t="s">
        <v>2562</v>
      </c>
      <c r="E2894" t="s">
        <v>6344</v>
      </c>
      <c r="F2894" t="str">
        <f>"201510000541"</f>
        <v>201510000541</v>
      </c>
      <c r="G2894" t="s">
        <v>804</v>
      </c>
      <c r="H2894" t="s">
        <v>20</v>
      </c>
      <c r="I2894">
        <v>1483</v>
      </c>
      <c r="J2894" t="s">
        <v>21</v>
      </c>
      <c r="K2894">
        <v>0</v>
      </c>
      <c r="L2894" t="s">
        <v>35</v>
      </c>
      <c r="M2894">
        <v>900</v>
      </c>
    </row>
    <row r="2895" spans="1:13">
      <c r="A2895">
        <v>2889</v>
      </c>
      <c r="B2895">
        <v>76549</v>
      </c>
      <c r="C2895" t="s">
        <v>6345</v>
      </c>
      <c r="D2895" t="s">
        <v>76</v>
      </c>
      <c r="E2895" t="s">
        <v>6346</v>
      </c>
      <c r="F2895" t="str">
        <f>"00367880"</f>
        <v>00367880</v>
      </c>
      <c r="G2895" t="s">
        <v>352</v>
      </c>
      <c r="H2895" t="s">
        <v>20</v>
      </c>
      <c r="I2895">
        <v>1471</v>
      </c>
      <c r="J2895" t="s">
        <v>21</v>
      </c>
      <c r="K2895">
        <v>0</v>
      </c>
      <c r="M2895">
        <v>1388</v>
      </c>
    </row>
    <row r="2896" spans="1:13">
      <c r="A2896">
        <v>2890</v>
      </c>
      <c r="B2896">
        <v>86507</v>
      </c>
      <c r="C2896" t="s">
        <v>6347</v>
      </c>
      <c r="D2896" t="s">
        <v>1385</v>
      </c>
      <c r="E2896" t="s">
        <v>6348</v>
      </c>
      <c r="F2896" t="str">
        <f>"201507004147"</f>
        <v>201507004147</v>
      </c>
      <c r="G2896" t="s">
        <v>5034</v>
      </c>
      <c r="H2896" t="s">
        <v>20</v>
      </c>
      <c r="I2896">
        <v>1554</v>
      </c>
      <c r="J2896" t="s">
        <v>21</v>
      </c>
      <c r="K2896">
        <v>6</v>
      </c>
      <c r="M2896">
        <v>1228</v>
      </c>
    </row>
    <row r="2897" spans="1:13">
      <c r="A2897">
        <v>2891</v>
      </c>
      <c r="B2897">
        <v>98395</v>
      </c>
      <c r="C2897" t="s">
        <v>6349</v>
      </c>
      <c r="D2897" t="s">
        <v>6350</v>
      </c>
      <c r="E2897" t="s">
        <v>6351</v>
      </c>
      <c r="F2897" t="str">
        <f>"00381739"</f>
        <v>00381739</v>
      </c>
      <c r="G2897" t="s">
        <v>1869</v>
      </c>
      <c r="H2897" t="s">
        <v>1631</v>
      </c>
      <c r="I2897">
        <v>1374</v>
      </c>
      <c r="J2897" t="s">
        <v>21</v>
      </c>
      <c r="K2897">
        <v>0</v>
      </c>
      <c r="M2897">
        <v>1538</v>
      </c>
    </row>
    <row r="2898" spans="1:13">
      <c r="A2898">
        <v>2892</v>
      </c>
      <c r="B2898">
        <v>73504</v>
      </c>
      <c r="C2898" t="s">
        <v>6352</v>
      </c>
      <c r="D2898" t="s">
        <v>6353</v>
      </c>
      <c r="E2898" t="s">
        <v>6354</v>
      </c>
      <c r="F2898" t="str">
        <f>"00252210"</f>
        <v>00252210</v>
      </c>
      <c r="G2898" t="s">
        <v>1445</v>
      </c>
      <c r="H2898" t="s">
        <v>535</v>
      </c>
      <c r="I2898">
        <v>1665</v>
      </c>
      <c r="J2898" t="s">
        <v>21</v>
      </c>
      <c r="K2898">
        <v>6</v>
      </c>
      <c r="M2898">
        <v>1463</v>
      </c>
    </row>
    <row r="2899" spans="1:13">
      <c r="A2899">
        <v>2893</v>
      </c>
      <c r="B2899">
        <v>115859</v>
      </c>
      <c r="C2899" t="s">
        <v>6355</v>
      </c>
      <c r="D2899" t="s">
        <v>180</v>
      </c>
      <c r="E2899" t="s">
        <v>6356</v>
      </c>
      <c r="F2899" t="str">
        <f>"00393536"</f>
        <v>00393536</v>
      </c>
      <c r="G2899" t="s">
        <v>1084</v>
      </c>
      <c r="H2899" t="s">
        <v>1085</v>
      </c>
      <c r="I2899">
        <v>1588</v>
      </c>
      <c r="J2899" t="s">
        <v>21</v>
      </c>
      <c r="K2899">
        <v>0</v>
      </c>
      <c r="L2899" t="s">
        <v>35</v>
      </c>
      <c r="M2899">
        <v>925</v>
      </c>
    </row>
    <row r="2900" spans="1:13">
      <c r="A2900">
        <v>2894</v>
      </c>
      <c r="B2900">
        <v>101864</v>
      </c>
      <c r="C2900" t="s">
        <v>6357</v>
      </c>
      <c r="D2900" t="s">
        <v>105</v>
      </c>
      <c r="E2900" t="s">
        <v>6358</v>
      </c>
      <c r="F2900" t="str">
        <f>"201511008153"</f>
        <v>201511008153</v>
      </c>
      <c r="G2900" t="s">
        <v>600</v>
      </c>
      <c r="H2900" t="s">
        <v>366</v>
      </c>
      <c r="I2900">
        <v>1694</v>
      </c>
      <c r="J2900" t="s">
        <v>21</v>
      </c>
      <c r="K2900">
        <v>0</v>
      </c>
      <c r="M2900">
        <v>1328</v>
      </c>
    </row>
    <row r="2901" spans="1:13">
      <c r="A2901">
        <v>2895</v>
      </c>
      <c r="B2901">
        <v>98750</v>
      </c>
      <c r="C2901" t="s">
        <v>6359</v>
      </c>
      <c r="D2901" t="s">
        <v>80</v>
      </c>
      <c r="E2901" t="s">
        <v>6360</v>
      </c>
      <c r="F2901" t="str">
        <f>"00394490"</f>
        <v>00394490</v>
      </c>
      <c r="G2901" t="s">
        <v>713</v>
      </c>
      <c r="H2901" t="s">
        <v>366</v>
      </c>
      <c r="I2901">
        <v>1690</v>
      </c>
      <c r="J2901" t="s">
        <v>21</v>
      </c>
      <c r="K2901">
        <v>0</v>
      </c>
      <c r="L2901" t="s">
        <v>35</v>
      </c>
      <c r="M2901">
        <v>1008</v>
      </c>
    </row>
    <row r="2902" spans="1:13">
      <c r="A2902">
        <v>2896</v>
      </c>
      <c r="B2902">
        <v>98911</v>
      </c>
      <c r="C2902" t="s">
        <v>6361</v>
      </c>
      <c r="D2902" t="s">
        <v>213</v>
      </c>
      <c r="E2902" t="s">
        <v>6362</v>
      </c>
      <c r="F2902" t="str">
        <f>"00387811"</f>
        <v>00387811</v>
      </c>
      <c r="G2902" t="s">
        <v>955</v>
      </c>
      <c r="H2902" t="s">
        <v>48</v>
      </c>
      <c r="I2902">
        <v>1630</v>
      </c>
      <c r="J2902" t="s">
        <v>21</v>
      </c>
      <c r="K2902">
        <v>0</v>
      </c>
      <c r="L2902" t="s">
        <v>35</v>
      </c>
      <c r="M2902">
        <v>1108</v>
      </c>
    </row>
    <row r="2903" spans="1:13">
      <c r="A2903">
        <v>2897</v>
      </c>
      <c r="B2903">
        <v>87074</v>
      </c>
      <c r="C2903" t="s">
        <v>6363</v>
      </c>
      <c r="D2903" t="s">
        <v>105</v>
      </c>
      <c r="E2903" t="s">
        <v>6364</v>
      </c>
      <c r="F2903" t="str">
        <f>"00290542"</f>
        <v>00290542</v>
      </c>
      <c r="G2903" t="s">
        <v>29</v>
      </c>
      <c r="H2903" t="s">
        <v>20</v>
      </c>
      <c r="I2903">
        <v>1446</v>
      </c>
      <c r="J2903" t="s">
        <v>21</v>
      </c>
      <c r="K2903">
        <v>0</v>
      </c>
      <c r="L2903" t="s">
        <v>35</v>
      </c>
      <c r="M2903">
        <v>973</v>
      </c>
    </row>
    <row r="2904" spans="1:13">
      <c r="A2904">
        <v>2898</v>
      </c>
      <c r="B2904">
        <v>96413</v>
      </c>
      <c r="C2904" t="s">
        <v>6365</v>
      </c>
      <c r="D2904" t="s">
        <v>218</v>
      </c>
      <c r="E2904" t="s">
        <v>6366</v>
      </c>
      <c r="F2904" t="str">
        <f>"00387917"</f>
        <v>00387917</v>
      </c>
      <c r="G2904" t="s">
        <v>38</v>
      </c>
      <c r="H2904" t="s">
        <v>39</v>
      </c>
      <c r="I2904">
        <v>1634</v>
      </c>
      <c r="J2904" t="s">
        <v>21</v>
      </c>
      <c r="K2904">
        <v>6</v>
      </c>
      <c r="L2904" t="s">
        <v>35</v>
      </c>
      <c r="M2904">
        <v>608</v>
      </c>
    </row>
    <row r="2905" spans="1:13">
      <c r="A2905">
        <v>2899</v>
      </c>
      <c r="B2905">
        <v>58374</v>
      </c>
      <c r="C2905" t="s">
        <v>6367</v>
      </c>
      <c r="D2905" t="s">
        <v>105</v>
      </c>
      <c r="E2905" t="s">
        <v>6368</v>
      </c>
      <c r="F2905" t="str">
        <f>"00356292"</f>
        <v>00356292</v>
      </c>
      <c r="G2905" t="s">
        <v>111</v>
      </c>
      <c r="H2905" t="s">
        <v>48</v>
      </c>
      <c r="I2905">
        <v>1620</v>
      </c>
      <c r="J2905" t="s">
        <v>21</v>
      </c>
      <c r="K2905">
        <v>0</v>
      </c>
      <c r="L2905" t="s">
        <v>88</v>
      </c>
      <c r="M2905">
        <v>556</v>
      </c>
    </row>
    <row r="2906" spans="1:13">
      <c r="A2906">
        <v>2900</v>
      </c>
      <c r="B2906">
        <v>76176</v>
      </c>
      <c r="C2906" t="s">
        <v>6369</v>
      </c>
      <c r="D2906" t="s">
        <v>243</v>
      </c>
      <c r="E2906" t="s">
        <v>6370</v>
      </c>
      <c r="F2906" t="str">
        <f>"00229745"</f>
        <v>00229745</v>
      </c>
      <c r="G2906" t="s">
        <v>258</v>
      </c>
      <c r="H2906" t="s">
        <v>20</v>
      </c>
      <c r="I2906">
        <v>1484</v>
      </c>
      <c r="J2906" t="s">
        <v>21</v>
      </c>
      <c r="K2906">
        <v>0</v>
      </c>
      <c r="L2906" t="s">
        <v>59</v>
      </c>
      <c r="M2906">
        <v>788</v>
      </c>
    </row>
    <row r="2907" spans="1:13">
      <c r="A2907">
        <v>2901</v>
      </c>
      <c r="B2907">
        <v>48936</v>
      </c>
      <c r="C2907" t="s">
        <v>6371</v>
      </c>
      <c r="D2907" t="s">
        <v>153</v>
      </c>
      <c r="E2907" t="s">
        <v>6372</v>
      </c>
      <c r="F2907" t="str">
        <f>"00364767"</f>
        <v>00364767</v>
      </c>
      <c r="G2907" t="s">
        <v>42</v>
      </c>
      <c r="H2907" t="s">
        <v>43</v>
      </c>
      <c r="I2907">
        <v>1712</v>
      </c>
      <c r="J2907" t="s">
        <v>21</v>
      </c>
      <c r="K2907">
        <v>0</v>
      </c>
      <c r="L2907" t="s">
        <v>59</v>
      </c>
      <c r="M2907">
        <v>1178</v>
      </c>
    </row>
    <row r="2908" spans="1:13">
      <c r="A2908">
        <v>2902</v>
      </c>
      <c r="B2908">
        <v>88332</v>
      </c>
      <c r="C2908" t="s">
        <v>6373</v>
      </c>
      <c r="D2908" t="s">
        <v>566</v>
      </c>
      <c r="E2908" t="s">
        <v>6374</v>
      </c>
      <c r="F2908" t="str">
        <f>"00406532"</f>
        <v>00406532</v>
      </c>
      <c r="G2908" t="s">
        <v>3368</v>
      </c>
      <c r="H2908" t="s">
        <v>20</v>
      </c>
      <c r="I2908">
        <v>1452</v>
      </c>
      <c r="J2908" t="s">
        <v>21</v>
      </c>
      <c r="K2908">
        <v>0</v>
      </c>
      <c r="L2908" t="s">
        <v>35</v>
      </c>
      <c r="M2908">
        <v>1008</v>
      </c>
    </row>
    <row r="2909" spans="1:13">
      <c r="A2909">
        <v>2903</v>
      </c>
      <c r="B2909">
        <v>66839</v>
      </c>
      <c r="C2909" t="s">
        <v>6375</v>
      </c>
      <c r="D2909" t="s">
        <v>80</v>
      </c>
      <c r="E2909" t="s">
        <v>6376</v>
      </c>
      <c r="F2909" t="str">
        <f>"00389129"</f>
        <v>00389129</v>
      </c>
      <c r="G2909" t="s">
        <v>763</v>
      </c>
      <c r="H2909" t="s">
        <v>20</v>
      </c>
      <c r="I2909">
        <v>1430</v>
      </c>
      <c r="J2909" t="s">
        <v>21</v>
      </c>
      <c r="K2909">
        <v>0</v>
      </c>
      <c r="M2909">
        <v>1438</v>
      </c>
    </row>
    <row r="2910" spans="1:13">
      <c r="A2910">
        <v>2904</v>
      </c>
      <c r="B2910">
        <v>112410</v>
      </c>
      <c r="C2910" t="s">
        <v>6377</v>
      </c>
      <c r="D2910" t="s">
        <v>180</v>
      </c>
      <c r="E2910" t="s">
        <v>6378</v>
      </c>
      <c r="F2910" t="str">
        <f>"00407693"</f>
        <v>00407693</v>
      </c>
      <c r="G2910" t="s">
        <v>446</v>
      </c>
      <c r="H2910" t="s">
        <v>137</v>
      </c>
      <c r="I2910">
        <v>1602</v>
      </c>
      <c r="J2910" t="s">
        <v>21</v>
      </c>
      <c r="K2910">
        <v>0</v>
      </c>
      <c r="L2910" t="s">
        <v>35</v>
      </c>
      <c r="M2910">
        <v>936</v>
      </c>
    </row>
    <row r="2911" spans="1:13">
      <c r="A2911">
        <v>2905</v>
      </c>
      <c r="B2911">
        <v>70360</v>
      </c>
      <c r="C2911" t="s">
        <v>6379</v>
      </c>
      <c r="D2911" t="s">
        <v>153</v>
      </c>
      <c r="E2911" t="s">
        <v>6380</v>
      </c>
      <c r="F2911" t="str">
        <f>"00202602"</f>
        <v>00202602</v>
      </c>
      <c r="G2911" t="s">
        <v>488</v>
      </c>
      <c r="H2911" t="s">
        <v>20</v>
      </c>
      <c r="I2911">
        <v>1482</v>
      </c>
      <c r="J2911" t="s">
        <v>21</v>
      </c>
      <c r="K2911">
        <v>0</v>
      </c>
      <c r="M2911">
        <v>1288</v>
      </c>
    </row>
    <row r="2912" spans="1:13">
      <c r="A2912">
        <v>2906</v>
      </c>
      <c r="B2912">
        <v>83343</v>
      </c>
      <c r="C2912" t="s">
        <v>6381</v>
      </c>
      <c r="D2912" t="s">
        <v>563</v>
      </c>
      <c r="E2912" t="s">
        <v>6382</v>
      </c>
      <c r="F2912" t="str">
        <f>"00406042"</f>
        <v>00406042</v>
      </c>
      <c r="G2912" t="s">
        <v>87</v>
      </c>
      <c r="H2912" t="s">
        <v>20</v>
      </c>
      <c r="I2912">
        <v>1436</v>
      </c>
      <c r="J2912" t="s">
        <v>21</v>
      </c>
      <c r="K2912">
        <v>0</v>
      </c>
      <c r="L2912" t="s">
        <v>35</v>
      </c>
      <c r="M2912">
        <v>1050</v>
      </c>
    </row>
    <row r="2913" spans="1:13">
      <c r="A2913">
        <v>2907</v>
      </c>
      <c r="B2913">
        <v>48467</v>
      </c>
      <c r="C2913" t="s">
        <v>6383</v>
      </c>
      <c r="D2913" t="s">
        <v>1249</v>
      </c>
      <c r="E2913" t="s">
        <v>6384</v>
      </c>
      <c r="F2913" t="str">
        <f>"00257375"</f>
        <v>00257375</v>
      </c>
      <c r="G2913" t="s">
        <v>760</v>
      </c>
      <c r="H2913" t="s">
        <v>20</v>
      </c>
      <c r="I2913">
        <v>1432</v>
      </c>
      <c r="J2913" t="s">
        <v>21</v>
      </c>
      <c r="K2913">
        <v>0</v>
      </c>
      <c r="L2913" t="s">
        <v>83</v>
      </c>
      <c r="M2913">
        <v>1388</v>
      </c>
    </row>
    <row r="2914" spans="1:13">
      <c r="A2914">
        <v>2908</v>
      </c>
      <c r="B2914">
        <v>102677</v>
      </c>
      <c r="C2914" t="s">
        <v>6385</v>
      </c>
      <c r="D2914" t="s">
        <v>90</v>
      </c>
      <c r="E2914" t="s">
        <v>6386</v>
      </c>
      <c r="F2914" t="str">
        <f>"00083838"</f>
        <v>00083838</v>
      </c>
      <c r="G2914" t="s">
        <v>96</v>
      </c>
      <c r="H2914" t="s">
        <v>20</v>
      </c>
      <c r="I2914">
        <v>1474</v>
      </c>
      <c r="J2914" t="s">
        <v>21</v>
      </c>
      <c r="K2914">
        <v>0</v>
      </c>
      <c r="M2914">
        <v>1738</v>
      </c>
    </row>
    <row r="2915" spans="1:13">
      <c r="A2915">
        <v>2909</v>
      </c>
      <c r="B2915">
        <v>52092</v>
      </c>
      <c r="C2915" t="s">
        <v>6387</v>
      </c>
      <c r="D2915" t="s">
        <v>127</v>
      </c>
      <c r="E2915" t="s">
        <v>6388</v>
      </c>
      <c r="F2915" t="str">
        <f>"00256101"</f>
        <v>00256101</v>
      </c>
      <c r="G2915" t="s">
        <v>856</v>
      </c>
      <c r="H2915" t="s">
        <v>857</v>
      </c>
      <c r="I2915">
        <v>1661</v>
      </c>
      <c r="J2915" t="s">
        <v>21</v>
      </c>
      <c r="K2915">
        <v>0</v>
      </c>
      <c r="M2915">
        <v>1436</v>
      </c>
    </row>
    <row r="2916" spans="1:13">
      <c r="A2916">
        <v>2910</v>
      </c>
      <c r="B2916">
        <v>48916</v>
      </c>
      <c r="C2916" t="s">
        <v>6389</v>
      </c>
      <c r="D2916" t="s">
        <v>451</v>
      </c>
      <c r="E2916" t="s">
        <v>6390</v>
      </c>
      <c r="F2916" t="str">
        <f>"00346979"</f>
        <v>00346979</v>
      </c>
      <c r="G2916" t="s">
        <v>3280</v>
      </c>
      <c r="H2916" t="s">
        <v>20</v>
      </c>
      <c r="I2916">
        <v>1557</v>
      </c>
      <c r="J2916" t="s">
        <v>21</v>
      </c>
      <c r="K2916">
        <v>6</v>
      </c>
      <c r="M2916">
        <v>1388</v>
      </c>
    </row>
    <row r="2917" spans="1:13">
      <c r="A2917">
        <v>2911</v>
      </c>
      <c r="B2917">
        <v>115315</v>
      </c>
      <c r="C2917" t="s">
        <v>6391</v>
      </c>
      <c r="D2917" t="s">
        <v>153</v>
      </c>
      <c r="E2917" t="s">
        <v>6392</v>
      </c>
      <c r="F2917" t="str">
        <f>"00407346"</f>
        <v>00407346</v>
      </c>
      <c r="G2917" t="s">
        <v>107</v>
      </c>
      <c r="H2917" t="s">
        <v>20</v>
      </c>
      <c r="I2917">
        <v>1472</v>
      </c>
      <c r="J2917" t="s">
        <v>21</v>
      </c>
      <c r="K2917">
        <v>0</v>
      </c>
      <c r="L2917" t="s">
        <v>35</v>
      </c>
      <c r="M2917">
        <v>908</v>
      </c>
    </row>
    <row r="2918" spans="1:13">
      <c r="A2918">
        <v>2912</v>
      </c>
      <c r="B2918">
        <v>90397</v>
      </c>
      <c r="C2918" t="s">
        <v>6393</v>
      </c>
      <c r="D2918" t="s">
        <v>243</v>
      </c>
      <c r="E2918" t="s">
        <v>6394</v>
      </c>
      <c r="F2918" t="str">
        <f>"00095860"</f>
        <v>00095860</v>
      </c>
      <c r="G2918" t="s">
        <v>47</v>
      </c>
      <c r="H2918" t="s">
        <v>48</v>
      </c>
      <c r="I2918">
        <v>1623</v>
      </c>
      <c r="J2918" t="s">
        <v>21</v>
      </c>
      <c r="K2918">
        <v>0</v>
      </c>
      <c r="L2918" t="s">
        <v>88</v>
      </c>
      <c r="M2918">
        <v>500</v>
      </c>
    </row>
    <row r="2919" spans="1:13">
      <c r="A2919">
        <v>2913</v>
      </c>
      <c r="B2919">
        <v>72188</v>
      </c>
      <c r="C2919" t="s">
        <v>6395</v>
      </c>
      <c r="D2919" t="s">
        <v>180</v>
      </c>
      <c r="E2919" t="s">
        <v>6396</v>
      </c>
      <c r="F2919" t="str">
        <f>"00405419"</f>
        <v>00405419</v>
      </c>
      <c r="G2919" t="s">
        <v>371</v>
      </c>
      <c r="H2919" t="s">
        <v>20</v>
      </c>
      <c r="I2919">
        <v>1526</v>
      </c>
      <c r="J2919" t="s">
        <v>21</v>
      </c>
      <c r="K2919">
        <v>6</v>
      </c>
      <c r="L2919" t="s">
        <v>59</v>
      </c>
      <c r="M2919">
        <v>236</v>
      </c>
    </row>
    <row r="2920" spans="1:13">
      <c r="A2920">
        <v>2914</v>
      </c>
      <c r="B2920">
        <v>75771</v>
      </c>
      <c r="C2920" t="s">
        <v>6397</v>
      </c>
      <c r="D2920" t="s">
        <v>105</v>
      </c>
      <c r="E2920" t="s">
        <v>6398</v>
      </c>
      <c r="F2920" t="str">
        <f>"00021810"</f>
        <v>00021810</v>
      </c>
      <c r="G2920" t="s">
        <v>307</v>
      </c>
      <c r="H2920" t="s">
        <v>326</v>
      </c>
      <c r="I2920">
        <v>1594</v>
      </c>
      <c r="J2920" t="s">
        <v>21</v>
      </c>
      <c r="K2920">
        <v>0</v>
      </c>
      <c r="M2920">
        <v>1288</v>
      </c>
    </row>
    <row r="2921" spans="1:13">
      <c r="A2921">
        <v>2915</v>
      </c>
      <c r="B2921">
        <v>98707</v>
      </c>
      <c r="C2921" t="s">
        <v>6399</v>
      </c>
      <c r="D2921" t="s">
        <v>130</v>
      </c>
      <c r="E2921" t="s">
        <v>6400</v>
      </c>
      <c r="F2921" t="str">
        <f>"00288284"</f>
        <v>00288284</v>
      </c>
      <c r="G2921" t="s">
        <v>299</v>
      </c>
      <c r="H2921" t="s">
        <v>20</v>
      </c>
      <c r="I2921">
        <v>1490</v>
      </c>
      <c r="J2921" t="s">
        <v>21</v>
      </c>
      <c r="K2921">
        <v>0</v>
      </c>
      <c r="L2921" t="s">
        <v>35</v>
      </c>
      <c r="M2921">
        <v>1100</v>
      </c>
    </row>
    <row r="2922" spans="1:13">
      <c r="A2922">
        <v>2916</v>
      </c>
      <c r="B2922">
        <v>49007</v>
      </c>
      <c r="C2922" t="s">
        <v>6401</v>
      </c>
      <c r="D2922" t="s">
        <v>6402</v>
      </c>
      <c r="E2922" t="s">
        <v>6403</v>
      </c>
      <c r="F2922" t="str">
        <f>"00315146"</f>
        <v>00315146</v>
      </c>
      <c r="G2922" t="s">
        <v>211</v>
      </c>
      <c r="H2922" t="s">
        <v>48</v>
      </c>
      <c r="I2922">
        <v>1628</v>
      </c>
      <c r="J2922" t="s">
        <v>21</v>
      </c>
      <c r="K2922">
        <v>0</v>
      </c>
      <c r="L2922" t="s">
        <v>401</v>
      </c>
      <c r="M2922">
        <v>1130</v>
      </c>
    </row>
    <row r="2923" spans="1:13">
      <c r="A2923">
        <v>2917</v>
      </c>
      <c r="B2923">
        <v>90147</v>
      </c>
      <c r="C2923" t="s">
        <v>6404</v>
      </c>
      <c r="D2923" t="s">
        <v>105</v>
      </c>
      <c r="E2923" t="s">
        <v>6405</v>
      </c>
      <c r="F2923" t="str">
        <f>"200803000061"</f>
        <v>200803000061</v>
      </c>
      <c r="G2923" t="s">
        <v>107</v>
      </c>
      <c r="H2923" t="s">
        <v>20</v>
      </c>
      <c r="I2923">
        <v>1472</v>
      </c>
      <c r="J2923" t="s">
        <v>21</v>
      </c>
      <c r="K2923">
        <v>0</v>
      </c>
      <c r="M2923">
        <v>1388</v>
      </c>
    </row>
    <row r="2924" spans="1:13">
      <c r="A2924">
        <v>2918</v>
      </c>
      <c r="B2924">
        <v>114471</v>
      </c>
      <c r="C2924" t="s">
        <v>6406</v>
      </c>
      <c r="D2924" t="s">
        <v>105</v>
      </c>
      <c r="E2924" t="s">
        <v>6407</v>
      </c>
      <c r="F2924" t="str">
        <f>"00403097"</f>
        <v>00403097</v>
      </c>
      <c r="G2924" t="s">
        <v>1155</v>
      </c>
      <c r="H2924" t="s">
        <v>20</v>
      </c>
      <c r="I2924">
        <v>1480</v>
      </c>
      <c r="J2924" t="s">
        <v>21</v>
      </c>
      <c r="K2924">
        <v>0</v>
      </c>
      <c r="L2924" t="s">
        <v>83</v>
      </c>
      <c r="M2924">
        <v>1338</v>
      </c>
    </row>
    <row r="2925" spans="1:13">
      <c r="A2925">
        <v>2919</v>
      </c>
      <c r="B2925">
        <v>80594</v>
      </c>
      <c r="C2925" t="s">
        <v>6408</v>
      </c>
      <c r="D2925" t="s">
        <v>76</v>
      </c>
      <c r="E2925" t="s">
        <v>6409</v>
      </c>
      <c r="F2925" t="str">
        <f>"201512000169"</f>
        <v>201512000169</v>
      </c>
      <c r="G2925" t="s">
        <v>371</v>
      </c>
      <c r="H2925" t="s">
        <v>20</v>
      </c>
      <c r="I2925">
        <v>1526</v>
      </c>
      <c r="J2925" t="s">
        <v>21</v>
      </c>
      <c r="K2925">
        <v>6</v>
      </c>
      <c r="M2925">
        <v>1128</v>
      </c>
    </row>
    <row r="2926" spans="1:13">
      <c r="A2926">
        <v>2920</v>
      </c>
      <c r="B2926">
        <v>93320</v>
      </c>
      <c r="C2926" t="s">
        <v>6410</v>
      </c>
      <c r="D2926" t="s">
        <v>80</v>
      </c>
      <c r="E2926" t="s">
        <v>6411</v>
      </c>
      <c r="F2926" t="str">
        <f>"00401217"</f>
        <v>00401217</v>
      </c>
      <c r="G2926" t="s">
        <v>709</v>
      </c>
      <c r="H2926" t="s">
        <v>20</v>
      </c>
      <c r="I2926">
        <v>1413</v>
      </c>
      <c r="J2926" t="s">
        <v>21</v>
      </c>
      <c r="K2926">
        <v>0</v>
      </c>
      <c r="L2926" t="s">
        <v>35</v>
      </c>
      <c r="M2926">
        <v>883</v>
      </c>
    </row>
    <row r="2927" spans="1:13">
      <c r="A2927">
        <v>2921</v>
      </c>
      <c r="B2927">
        <v>55332</v>
      </c>
      <c r="C2927" t="s">
        <v>6412</v>
      </c>
      <c r="D2927" t="s">
        <v>6413</v>
      </c>
      <c r="E2927" t="s">
        <v>6414</v>
      </c>
      <c r="F2927" t="str">
        <f>"00217035"</f>
        <v>00217035</v>
      </c>
      <c r="G2927" t="s">
        <v>29</v>
      </c>
      <c r="H2927" t="s">
        <v>20</v>
      </c>
      <c r="I2927">
        <v>1446</v>
      </c>
      <c r="J2927" t="s">
        <v>21</v>
      </c>
      <c r="K2927">
        <v>0</v>
      </c>
      <c r="L2927" t="s">
        <v>112</v>
      </c>
      <c r="M2927">
        <v>902</v>
      </c>
    </row>
    <row r="2928" spans="1:13">
      <c r="A2928">
        <v>2922</v>
      </c>
      <c r="B2928">
        <v>67349</v>
      </c>
      <c r="C2928" t="s">
        <v>6415</v>
      </c>
      <c r="D2928" t="s">
        <v>243</v>
      </c>
      <c r="E2928" t="s">
        <v>6416</v>
      </c>
      <c r="F2928" t="str">
        <f>"00390516"</f>
        <v>00390516</v>
      </c>
      <c r="G2928" t="s">
        <v>284</v>
      </c>
      <c r="H2928" t="s">
        <v>270</v>
      </c>
      <c r="I2928">
        <v>1586</v>
      </c>
      <c r="J2928" t="s">
        <v>21</v>
      </c>
      <c r="K2928">
        <v>0</v>
      </c>
      <c r="L2928" t="s">
        <v>35</v>
      </c>
      <c r="M2928">
        <v>908</v>
      </c>
    </row>
    <row r="2929" spans="1:13">
      <c r="A2929">
        <v>2923</v>
      </c>
      <c r="B2929">
        <v>106214</v>
      </c>
      <c r="C2929" t="s">
        <v>6417</v>
      </c>
      <c r="D2929" t="s">
        <v>117</v>
      </c>
      <c r="E2929" t="s">
        <v>6418</v>
      </c>
      <c r="F2929" t="str">
        <f>"00362100"</f>
        <v>00362100</v>
      </c>
      <c r="G2929" t="s">
        <v>258</v>
      </c>
      <c r="H2929" t="s">
        <v>20</v>
      </c>
      <c r="I2929">
        <v>1484</v>
      </c>
      <c r="J2929" t="s">
        <v>21</v>
      </c>
      <c r="K2929">
        <v>0</v>
      </c>
      <c r="L2929" t="s">
        <v>35</v>
      </c>
      <c r="M2929">
        <v>1000</v>
      </c>
    </row>
    <row r="2930" spans="1:13">
      <c r="A2930">
        <v>2924</v>
      </c>
      <c r="B2930">
        <v>112734</v>
      </c>
      <c r="C2930" t="s">
        <v>6419</v>
      </c>
      <c r="D2930" t="s">
        <v>130</v>
      </c>
      <c r="E2930" t="s">
        <v>6420</v>
      </c>
      <c r="F2930" t="str">
        <f>"00411464"</f>
        <v>00411464</v>
      </c>
      <c r="G2930" t="s">
        <v>1595</v>
      </c>
      <c r="H2930" t="s">
        <v>20</v>
      </c>
      <c r="I2930">
        <v>1538</v>
      </c>
      <c r="J2930" t="s">
        <v>21</v>
      </c>
      <c r="K2930">
        <v>6</v>
      </c>
      <c r="M2930">
        <v>1342</v>
      </c>
    </row>
    <row r="2931" spans="1:13">
      <c r="A2931">
        <v>2925</v>
      </c>
      <c r="B2931">
        <v>111269</v>
      </c>
      <c r="C2931" t="s">
        <v>6421</v>
      </c>
      <c r="D2931" t="s">
        <v>180</v>
      </c>
      <c r="E2931" t="s">
        <v>6422</v>
      </c>
      <c r="F2931" t="str">
        <f>"00144267"</f>
        <v>00144267</v>
      </c>
      <c r="G2931" t="s">
        <v>284</v>
      </c>
      <c r="H2931" t="s">
        <v>270</v>
      </c>
      <c r="I2931">
        <v>1586</v>
      </c>
      <c r="J2931" t="s">
        <v>21</v>
      </c>
      <c r="K2931">
        <v>0</v>
      </c>
      <c r="M2931">
        <v>1388</v>
      </c>
    </row>
    <row r="2932" spans="1:13">
      <c r="A2932">
        <v>2926</v>
      </c>
      <c r="B2932">
        <v>110931</v>
      </c>
      <c r="C2932" t="s">
        <v>6423</v>
      </c>
      <c r="D2932" t="s">
        <v>90</v>
      </c>
      <c r="E2932" t="s">
        <v>6424</v>
      </c>
      <c r="F2932" t="str">
        <f>"00401913"</f>
        <v>00401913</v>
      </c>
      <c r="G2932" t="s">
        <v>200</v>
      </c>
      <c r="H2932" t="s">
        <v>20</v>
      </c>
      <c r="I2932">
        <v>1492</v>
      </c>
      <c r="J2932" t="s">
        <v>21</v>
      </c>
      <c r="K2932">
        <v>0</v>
      </c>
      <c r="M2932">
        <v>1588</v>
      </c>
    </row>
    <row r="2933" spans="1:13">
      <c r="A2933">
        <v>2927</v>
      </c>
      <c r="B2933">
        <v>62505</v>
      </c>
      <c r="C2933" t="s">
        <v>6423</v>
      </c>
      <c r="D2933" t="s">
        <v>153</v>
      </c>
      <c r="E2933" t="s">
        <v>6425</v>
      </c>
      <c r="F2933" t="str">
        <f>"00357397"</f>
        <v>00357397</v>
      </c>
      <c r="G2933" t="s">
        <v>1160</v>
      </c>
      <c r="H2933" t="s">
        <v>20</v>
      </c>
      <c r="I2933">
        <v>1424</v>
      </c>
      <c r="J2933" t="s">
        <v>21</v>
      </c>
      <c r="K2933">
        <v>0</v>
      </c>
      <c r="M2933">
        <v>1608</v>
      </c>
    </row>
    <row r="2934" spans="1:13">
      <c r="A2934">
        <v>2928</v>
      </c>
      <c r="B2934">
        <v>54689</v>
      </c>
      <c r="C2934" t="s">
        <v>6426</v>
      </c>
      <c r="D2934" t="s">
        <v>2251</v>
      </c>
      <c r="E2934" t="s">
        <v>6427</v>
      </c>
      <c r="F2934" t="str">
        <f>"00357198"</f>
        <v>00357198</v>
      </c>
      <c r="G2934" t="s">
        <v>834</v>
      </c>
      <c r="H2934" t="s">
        <v>20</v>
      </c>
      <c r="I2934">
        <v>1416</v>
      </c>
      <c r="J2934" t="s">
        <v>21</v>
      </c>
      <c r="K2934">
        <v>0</v>
      </c>
      <c r="L2934" t="s">
        <v>35</v>
      </c>
      <c r="M2934">
        <v>983</v>
      </c>
    </row>
    <row r="2935" spans="1:13">
      <c r="A2935">
        <v>2929</v>
      </c>
      <c r="B2935">
        <v>92273</v>
      </c>
      <c r="C2935" t="s">
        <v>6428</v>
      </c>
      <c r="D2935" t="s">
        <v>127</v>
      </c>
      <c r="E2935" t="s">
        <v>6429</v>
      </c>
      <c r="F2935" t="str">
        <f>"00309625"</f>
        <v>00309625</v>
      </c>
      <c r="G2935" t="s">
        <v>468</v>
      </c>
      <c r="H2935" t="s">
        <v>20</v>
      </c>
      <c r="I2935">
        <v>1569</v>
      </c>
      <c r="J2935" t="s">
        <v>21</v>
      </c>
      <c r="K2935">
        <v>0</v>
      </c>
      <c r="L2935" t="s">
        <v>35</v>
      </c>
      <c r="M2935">
        <v>983</v>
      </c>
    </row>
    <row r="2936" spans="1:13">
      <c r="A2936">
        <v>2930</v>
      </c>
      <c r="B2936">
        <v>62080</v>
      </c>
      <c r="C2936" t="s">
        <v>6430</v>
      </c>
      <c r="D2936" t="s">
        <v>218</v>
      </c>
      <c r="E2936" t="s">
        <v>6431</v>
      </c>
      <c r="F2936" t="str">
        <f>"00365595"</f>
        <v>00365595</v>
      </c>
      <c r="G2936" t="s">
        <v>883</v>
      </c>
      <c r="H2936" t="s">
        <v>270</v>
      </c>
      <c r="I2936">
        <v>1585</v>
      </c>
      <c r="J2936" t="s">
        <v>21</v>
      </c>
      <c r="K2936">
        <v>0</v>
      </c>
      <c r="M2936">
        <v>1515</v>
      </c>
    </row>
    <row r="2937" spans="1:13">
      <c r="A2937">
        <v>2931</v>
      </c>
      <c r="B2937">
        <v>114990</v>
      </c>
      <c r="C2937" t="s">
        <v>6432</v>
      </c>
      <c r="D2937" t="s">
        <v>76</v>
      </c>
      <c r="E2937" t="s">
        <v>6433</v>
      </c>
      <c r="F2937" t="str">
        <f>"00102757"</f>
        <v>00102757</v>
      </c>
      <c r="G2937" t="s">
        <v>111</v>
      </c>
      <c r="H2937" t="s">
        <v>48</v>
      </c>
      <c r="I2937">
        <v>1620</v>
      </c>
      <c r="J2937" t="s">
        <v>21</v>
      </c>
      <c r="K2937">
        <v>0</v>
      </c>
      <c r="L2937" t="s">
        <v>83</v>
      </c>
      <c r="M2937">
        <v>1284</v>
      </c>
    </row>
    <row r="2938" spans="1:13">
      <c r="A2938">
        <v>2932</v>
      </c>
      <c r="B2938">
        <v>111368</v>
      </c>
      <c r="C2938" t="s">
        <v>6434</v>
      </c>
      <c r="D2938" t="s">
        <v>399</v>
      </c>
      <c r="E2938" t="s">
        <v>6435</v>
      </c>
      <c r="F2938" t="str">
        <f>"00418059"</f>
        <v>00418059</v>
      </c>
      <c r="G2938" t="s">
        <v>215</v>
      </c>
      <c r="H2938" t="s">
        <v>216</v>
      </c>
      <c r="I2938">
        <v>1708</v>
      </c>
      <c r="J2938" t="s">
        <v>21</v>
      </c>
      <c r="K2938">
        <v>6</v>
      </c>
      <c r="L2938" t="s">
        <v>35</v>
      </c>
      <c r="M2938">
        <v>976</v>
      </c>
    </row>
    <row r="2939" spans="1:13">
      <c r="A2939">
        <v>2933</v>
      </c>
      <c r="B2939">
        <v>101948</v>
      </c>
      <c r="C2939" t="s">
        <v>6436</v>
      </c>
      <c r="D2939" t="s">
        <v>180</v>
      </c>
      <c r="E2939" t="s">
        <v>6437</v>
      </c>
      <c r="F2939" t="str">
        <f>"200801007291"</f>
        <v>200801007291</v>
      </c>
      <c r="G2939" t="s">
        <v>1100</v>
      </c>
      <c r="H2939" t="s">
        <v>234</v>
      </c>
      <c r="I2939">
        <v>1344</v>
      </c>
      <c r="J2939" t="s">
        <v>21</v>
      </c>
      <c r="K2939">
        <v>6</v>
      </c>
      <c r="L2939" t="s">
        <v>59</v>
      </c>
      <c r="M2939">
        <v>625</v>
      </c>
    </row>
    <row r="2940" spans="1:13">
      <c r="A2940">
        <v>2934</v>
      </c>
      <c r="B2940">
        <v>104763</v>
      </c>
      <c r="C2940" t="s">
        <v>6438</v>
      </c>
      <c r="D2940" t="s">
        <v>80</v>
      </c>
      <c r="E2940" t="s">
        <v>6439</v>
      </c>
      <c r="F2940" t="str">
        <f>"00383050"</f>
        <v>00383050</v>
      </c>
      <c r="G2940" t="s">
        <v>92</v>
      </c>
      <c r="H2940" t="s">
        <v>20</v>
      </c>
      <c r="I2940">
        <v>1425</v>
      </c>
      <c r="J2940" t="s">
        <v>21</v>
      </c>
      <c r="K2940">
        <v>0</v>
      </c>
      <c r="L2940" t="s">
        <v>59</v>
      </c>
      <c r="M2940">
        <v>1288</v>
      </c>
    </row>
    <row r="2941" spans="1:13">
      <c r="A2941">
        <v>2935</v>
      </c>
      <c r="B2941">
        <v>88442</v>
      </c>
      <c r="C2941" t="s">
        <v>6440</v>
      </c>
      <c r="D2941" t="s">
        <v>109</v>
      </c>
      <c r="E2941" t="s">
        <v>6441</v>
      </c>
      <c r="F2941" t="str">
        <f>"00355022"</f>
        <v>00355022</v>
      </c>
      <c r="G2941" t="s">
        <v>38</v>
      </c>
      <c r="H2941" t="s">
        <v>39</v>
      </c>
      <c r="I2941">
        <v>1634</v>
      </c>
      <c r="J2941" t="s">
        <v>21</v>
      </c>
      <c r="K2941">
        <v>6</v>
      </c>
      <c r="M2941">
        <v>1339</v>
      </c>
    </row>
    <row r="2942" spans="1:13">
      <c r="A2942">
        <v>2936</v>
      </c>
      <c r="B2942">
        <v>93532</v>
      </c>
      <c r="C2942" t="s">
        <v>6442</v>
      </c>
      <c r="D2942" t="s">
        <v>180</v>
      </c>
      <c r="E2942" t="s">
        <v>6443</v>
      </c>
      <c r="F2942" t="str">
        <f>"00375091"</f>
        <v>00375091</v>
      </c>
      <c r="G2942" t="s">
        <v>38</v>
      </c>
      <c r="H2942" t="s">
        <v>39</v>
      </c>
      <c r="I2942">
        <v>1634</v>
      </c>
      <c r="J2942" t="s">
        <v>21</v>
      </c>
      <c r="K2942">
        <v>6</v>
      </c>
      <c r="L2942" t="s">
        <v>35</v>
      </c>
      <c r="M2942">
        <v>708</v>
      </c>
    </row>
    <row r="2943" spans="1:13">
      <c r="A2943">
        <v>2937</v>
      </c>
      <c r="B2943">
        <v>64186</v>
      </c>
      <c r="C2943" t="s">
        <v>6444</v>
      </c>
      <c r="D2943" t="s">
        <v>334</v>
      </c>
      <c r="E2943" t="s">
        <v>6445</v>
      </c>
      <c r="F2943" t="str">
        <f>"201511005116"</f>
        <v>201511005116</v>
      </c>
      <c r="G2943" t="s">
        <v>29</v>
      </c>
      <c r="H2943" t="s">
        <v>20</v>
      </c>
      <c r="I2943">
        <v>1446</v>
      </c>
      <c r="J2943" t="s">
        <v>21</v>
      </c>
      <c r="K2943">
        <v>0</v>
      </c>
      <c r="L2943" t="s">
        <v>83</v>
      </c>
      <c r="M2943">
        <v>1338</v>
      </c>
    </row>
    <row r="2944" spans="1:13">
      <c r="A2944">
        <v>2938</v>
      </c>
      <c r="B2944">
        <v>57077</v>
      </c>
      <c r="C2944" t="s">
        <v>6446</v>
      </c>
      <c r="D2944" t="s">
        <v>90</v>
      </c>
      <c r="E2944" t="s">
        <v>6447</v>
      </c>
      <c r="F2944" t="str">
        <f>"00291776"</f>
        <v>00291776</v>
      </c>
      <c r="G2944" t="s">
        <v>488</v>
      </c>
      <c r="H2944" t="s">
        <v>20</v>
      </c>
      <c r="I2944">
        <v>1482</v>
      </c>
      <c r="J2944" t="s">
        <v>21</v>
      </c>
      <c r="K2944">
        <v>0</v>
      </c>
      <c r="L2944" t="s">
        <v>59</v>
      </c>
      <c r="M2944">
        <v>818</v>
      </c>
    </row>
    <row r="2945" spans="1:13">
      <c r="A2945">
        <v>2939</v>
      </c>
      <c r="B2945">
        <v>78666</v>
      </c>
      <c r="C2945" t="s">
        <v>6448</v>
      </c>
      <c r="D2945" t="s">
        <v>76</v>
      </c>
      <c r="E2945" t="s">
        <v>6449</v>
      </c>
      <c r="F2945" t="str">
        <f>"201411000938"</f>
        <v>201411000938</v>
      </c>
      <c r="G2945" t="s">
        <v>29</v>
      </c>
      <c r="H2945" t="s">
        <v>20</v>
      </c>
      <c r="I2945">
        <v>1446</v>
      </c>
      <c r="J2945" t="s">
        <v>21</v>
      </c>
      <c r="K2945">
        <v>0</v>
      </c>
      <c r="L2945" t="s">
        <v>35</v>
      </c>
      <c r="M2945">
        <v>1350</v>
      </c>
    </row>
    <row r="2946" spans="1:13">
      <c r="A2946">
        <v>2940</v>
      </c>
      <c r="B2946">
        <v>103097</v>
      </c>
      <c r="C2946" t="s">
        <v>6450</v>
      </c>
      <c r="D2946" t="s">
        <v>76</v>
      </c>
      <c r="E2946" t="s">
        <v>6451</v>
      </c>
      <c r="F2946" t="str">
        <f>"00225751"</f>
        <v>00225751</v>
      </c>
      <c r="G2946" t="s">
        <v>47</v>
      </c>
      <c r="H2946" t="s">
        <v>48</v>
      </c>
      <c r="I2946">
        <v>1623</v>
      </c>
      <c r="J2946" t="s">
        <v>21</v>
      </c>
      <c r="K2946">
        <v>0</v>
      </c>
      <c r="L2946" t="s">
        <v>35</v>
      </c>
      <c r="M2946">
        <v>903</v>
      </c>
    </row>
    <row r="2947" spans="1:13">
      <c r="A2947">
        <v>2941</v>
      </c>
      <c r="B2947">
        <v>49848</v>
      </c>
      <c r="C2947" t="s">
        <v>6452</v>
      </c>
      <c r="D2947" t="s">
        <v>76</v>
      </c>
      <c r="E2947" t="s">
        <v>6453</v>
      </c>
      <c r="F2947" t="str">
        <f>"00356053"</f>
        <v>00356053</v>
      </c>
      <c r="G2947" t="s">
        <v>763</v>
      </c>
      <c r="H2947" t="s">
        <v>20</v>
      </c>
      <c r="I2947">
        <v>1430</v>
      </c>
      <c r="J2947" t="s">
        <v>21</v>
      </c>
      <c r="K2947">
        <v>0</v>
      </c>
      <c r="L2947" t="s">
        <v>35</v>
      </c>
      <c r="M2947">
        <v>1150</v>
      </c>
    </row>
    <row r="2948" spans="1:13">
      <c r="A2948">
        <v>2942</v>
      </c>
      <c r="B2948">
        <v>66833</v>
      </c>
      <c r="C2948" t="s">
        <v>6454</v>
      </c>
      <c r="D2948" t="s">
        <v>145</v>
      </c>
      <c r="E2948" t="s">
        <v>6455</v>
      </c>
      <c r="F2948" t="str">
        <f>"00285152"</f>
        <v>00285152</v>
      </c>
      <c r="G2948" t="s">
        <v>52</v>
      </c>
      <c r="H2948" t="s">
        <v>20</v>
      </c>
      <c r="I2948">
        <v>1503</v>
      </c>
      <c r="J2948" t="s">
        <v>21</v>
      </c>
      <c r="K2948">
        <v>0</v>
      </c>
      <c r="L2948" t="s">
        <v>35</v>
      </c>
      <c r="M2948">
        <v>908</v>
      </c>
    </row>
    <row r="2949" spans="1:13">
      <c r="A2949">
        <v>2943</v>
      </c>
      <c r="B2949">
        <v>60295</v>
      </c>
      <c r="C2949" t="s">
        <v>6456</v>
      </c>
      <c r="D2949" t="s">
        <v>1267</v>
      </c>
      <c r="E2949" t="s">
        <v>6457</v>
      </c>
      <c r="F2949" t="str">
        <f>"00259564"</f>
        <v>00259564</v>
      </c>
      <c r="G2949" t="s">
        <v>728</v>
      </c>
      <c r="H2949" t="s">
        <v>20</v>
      </c>
      <c r="I2949">
        <v>1551</v>
      </c>
      <c r="J2949" t="s">
        <v>21</v>
      </c>
      <c r="K2949">
        <v>6</v>
      </c>
      <c r="M2949">
        <v>1379</v>
      </c>
    </row>
    <row r="2950" spans="1:13">
      <c r="A2950">
        <v>2944</v>
      </c>
      <c r="B2950">
        <v>108705</v>
      </c>
      <c r="C2950" t="s">
        <v>6458</v>
      </c>
      <c r="D2950" t="s">
        <v>492</v>
      </c>
      <c r="E2950" t="s">
        <v>6459</v>
      </c>
      <c r="F2950" t="str">
        <f>"00278378"</f>
        <v>00278378</v>
      </c>
      <c r="G2950" t="s">
        <v>278</v>
      </c>
      <c r="H2950" t="s">
        <v>20</v>
      </c>
      <c r="I2950">
        <v>1441</v>
      </c>
      <c r="J2950" t="s">
        <v>21</v>
      </c>
      <c r="K2950">
        <v>0</v>
      </c>
      <c r="L2950" t="s">
        <v>35</v>
      </c>
      <c r="M2950">
        <v>1058</v>
      </c>
    </row>
    <row r="2951" spans="1:13">
      <c r="A2951">
        <v>2945</v>
      </c>
      <c r="B2951">
        <v>50301</v>
      </c>
      <c r="C2951" t="s">
        <v>6460</v>
      </c>
      <c r="D2951" t="s">
        <v>130</v>
      </c>
      <c r="E2951" t="s">
        <v>6461</v>
      </c>
      <c r="F2951" t="str">
        <f>"00373437"</f>
        <v>00373437</v>
      </c>
      <c r="G2951" t="s">
        <v>38</v>
      </c>
      <c r="H2951" t="s">
        <v>39</v>
      </c>
      <c r="I2951">
        <v>1634</v>
      </c>
      <c r="J2951" t="s">
        <v>21</v>
      </c>
      <c r="K2951">
        <v>6</v>
      </c>
      <c r="L2951" t="s">
        <v>35</v>
      </c>
      <c r="M2951">
        <v>608</v>
      </c>
    </row>
    <row r="2952" spans="1:13">
      <c r="A2952">
        <v>2946</v>
      </c>
      <c r="B2952">
        <v>99346</v>
      </c>
      <c r="C2952" t="s">
        <v>6462</v>
      </c>
      <c r="D2952" t="s">
        <v>163</v>
      </c>
      <c r="E2952" t="s">
        <v>6463</v>
      </c>
      <c r="F2952" t="str">
        <f>"00374548"</f>
        <v>00374548</v>
      </c>
      <c r="G2952" t="s">
        <v>150</v>
      </c>
      <c r="H2952" t="s">
        <v>151</v>
      </c>
      <c r="I2952">
        <v>1699</v>
      </c>
      <c r="J2952" t="s">
        <v>21</v>
      </c>
      <c r="K2952">
        <v>0</v>
      </c>
      <c r="L2952" t="s">
        <v>35</v>
      </c>
      <c r="M2952">
        <v>825</v>
      </c>
    </row>
    <row r="2953" spans="1:13">
      <c r="A2953">
        <v>2947</v>
      </c>
      <c r="B2953">
        <v>90087</v>
      </c>
      <c r="C2953" t="s">
        <v>6464</v>
      </c>
      <c r="D2953" t="s">
        <v>180</v>
      </c>
      <c r="E2953" t="s">
        <v>6465</v>
      </c>
      <c r="F2953" t="str">
        <f>"00155925"</f>
        <v>00155925</v>
      </c>
      <c r="G2953" t="s">
        <v>107</v>
      </c>
      <c r="H2953" t="s">
        <v>20</v>
      </c>
      <c r="I2953">
        <v>1472</v>
      </c>
      <c r="J2953" t="s">
        <v>21</v>
      </c>
      <c r="K2953">
        <v>0</v>
      </c>
      <c r="M2953">
        <v>1578</v>
      </c>
    </row>
    <row r="2954" spans="1:13">
      <c r="A2954">
        <v>2948</v>
      </c>
      <c r="B2954">
        <v>96567</v>
      </c>
      <c r="C2954" t="s">
        <v>6466</v>
      </c>
      <c r="D2954" t="s">
        <v>180</v>
      </c>
      <c r="E2954" t="s">
        <v>6467</v>
      </c>
      <c r="F2954" t="str">
        <f>"201511017624"</f>
        <v>201511017624</v>
      </c>
      <c r="G2954" t="s">
        <v>1682</v>
      </c>
      <c r="H2954" t="s">
        <v>241</v>
      </c>
      <c r="I2954">
        <v>1363</v>
      </c>
      <c r="J2954" t="s">
        <v>21</v>
      </c>
      <c r="K2954">
        <v>0</v>
      </c>
      <c r="L2954" t="s">
        <v>35</v>
      </c>
      <c r="M2954">
        <v>986</v>
      </c>
    </row>
    <row r="2955" spans="1:13">
      <c r="A2955">
        <v>2949</v>
      </c>
      <c r="B2955">
        <v>102193</v>
      </c>
      <c r="C2955" t="s">
        <v>6468</v>
      </c>
      <c r="D2955" t="s">
        <v>180</v>
      </c>
      <c r="E2955" t="s">
        <v>6469</v>
      </c>
      <c r="F2955" t="str">
        <f>"00281427"</f>
        <v>00281427</v>
      </c>
      <c r="G2955" t="s">
        <v>365</v>
      </c>
      <c r="H2955" t="s">
        <v>366</v>
      </c>
      <c r="I2955">
        <v>1692</v>
      </c>
      <c r="J2955" t="s">
        <v>21</v>
      </c>
      <c r="K2955">
        <v>0</v>
      </c>
      <c r="M2955">
        <v>1428</v>
      </c>
    </row>
    <row r="2956" spans="1:13">
      <c r="A2956">
        <v>2950</v>
      </c>
      <c r="B2956">
        <v>97340</v>
      </c>
      <c r="C2956" t="s">
        <v>6470</v>
      </c>
      <c r="D2956" t="s">
        <v>163</v>
      </c>
      <c r="E2956" t="s">
        <v>6471</v>
      </c>
      <c r="F2956" t="str">
        <f>"00257882"</f>
        <v>00257882</v>
      </c>
      <c r="G2956" t="s">
        <v>87</v>
      </c>
      <c r="H2956" t="s">
        <v>20</v>
      </c>
      <c r="I2956">
        <v>1436</v>
      </c>
      <c r="J2956" t="s">
        <v>21</v>
      </c>
      <c r="K2956">
        <v>0</v>
      </c>
      <c r="L2956" t="s">
        <v>83</v>
      </c>
      <c r="M2956">
        <v>1228</v>
      </c>
    </row>
    <row r="2957" spans="1:13">
      <c r="A2957">
        <v>2951</v>
      </c>
      <c r="B2957">
        <v>94937</v>
      </c>
      <c r="C2957" t="s">
        <v>6472</v>
      </c>
      <c r="D2957" t="s">
        <v>163</v>
      </c>
      <c r="E2957" t="s">
        <v>6473</v>
      </c>
      <c r="F2957" t="str">
        <f>"00404321"</f>
        <v>00404321</v>
      </c>
      <c r="G2957" t="s">
        <v>96</v>
      </c>
      <c r="H2957" t="s">
        <v>20</v>
      </c>
      <c r="I2957">
        <v>1474</v>
      </c>
      <c r="J2957" t="s">
        <v>21</v>
      </c>
      <c r="K2957">
        <v>0</v>
      </c>
      <c r="M2957">
        <v>1518</v>
      </c>
    </row>
    <row r="2958" spans="1:13">
      <c r="A2958">
        <v>2952</v>
      </c>
      <c r="B2958">
        <v>75306</v>
      </c>
      <c r="C2958" t="s">
        <v>6474</v>
      </c>
      <c r="D2958" t="s">
        <v>288</v>
      </c>
      <c r="E2958" t="s">
        <v>6475</v>
      </c>
      <c r="F2958" t="str">
        <f>"00382738"</f>
        <v>00382738</v>
      </c>
      <c r="G2958" t="s">
        <v>1556</v>
      </c>
      <c r="H2958" t="s">
        <v>20</v>
      </c>
      <c r="I2958">
        <v>1530</v>
      </c>
      <c r="J2958" t="s">
        <v>21</v>
      </c>
      <c r="K2958">
        <v>0</v>
      </c>
      <c r="M2958">
        <v>1388</v>
      </c>
    </row>
    <row r="2959" spans="1:13">
      <c r="A2959">
        <v>2953</v>
      </c>
      <c r="B2959">
        <v>62802</v>
      </c>
      <c r="C2959" t="s">
        <v>6476</v>
      </c>
      <c r="D2959" t="s">
        <v>105</v>
      </c>
      <c r="E2959" t="s">
        <v>6477</v>
      </c>
      <c r="F2959" t="str">
        <f>"00336042"</f>
        <v>00336042</v>
      </c>
      <c r="G2959" t="s">
        <v>273</v>
      </c>
      <c r="H2959" t="s">
        <v>274</v>
      </c>
      <c r="I2959">
        <v>1395</v>
      </c>
      <c r="J2959" t="s">
        <v>21</v>
      </c>
      <c r="K2959">
        <v>0</v>
      </c>
      <c r="L2959" t="s">
        <v>59</v>
      </c>
      <c r="M2959">
        <v>1118</v>
      </c>
    </row>
    <row r="2960" spans="1:13">
      <c r="A2960">
        <v>2954</v>
      </c>
      <c r="B2960">
        <v>115869</v>
      </c>
      <c r="C2960" t="s">
        <v>6478</v>
      </c>
      <c r="D2960" t="s">
        <v>76</v>
      </c>
      <c r="E2960" t="s">
        <v>6479</v>
      </c>
      <c r="F2960" t="str">
        <f>"00410960"</f>
        <v>00410960</v>
      </c>
      <c r="G2960" t="s">
        <v>211</v>
      </c>
      <c r="H2960" t="s">
        <v>48</v>
      </c>
      <c r="I2960">
        <v>1628</v>
      </c>
      <c r="J2960" t="s">
        <v>21</v>
      </c>
      <c r="K2960">
        <v>0</v>
      </c>
      <c r="M2960">
        <v>1374</v>
      </c>
    </row>
    <row r="2961" spans="1:13">
      <c r="A2961">
        <v>2955</v>
      </c>
      <c r="B2961">
        <v>100764</v>
      </c>
      <c r="C2961" t="s">
        <v>6480</v>
      </c>
      <c r="D2961" t="s">
        <v>163</v>
      </c>
      <c r="E2961" t="s">
        <v>6481</v>
      </c>
      <c r="F2961" t="str">
        <f>"00199743"</f>
        <v>00199743</v>
      </c>
      <c r="G2961" t="s">
        <v>87</v>
      </c>
      <c r="H2961" t="s">
        <v>6482</v>
      </c>
      <c r="I2961">
        <v>1701</v>
      </c>
      <c r="J2961" t="s">
        <v>21</v>
      </c>
      <c r="K2961">
        <v>0</v>
      </c>
      <c r="M2961">
        <v>1388</v>
      </c>
    </row>
    <row r="2962" spans="1:13">
      <c r="A2962">
        <v>2956</v>
      </c>
      <c r="B2962">
        <v>47264</v>
      </c>
      <c r="C2962" t="s">
        <v>6483</v>
      </c>
      <c r="D2962" t="s">
        <v>80</v>
      </c>
      <c r="E2962" t="s">
        <v>6484</v>
      </c>
      <c r="F2962" t="str">
        <f>"00262821"</f>
        <v>00262821</v>
      </c>
      <c r="G2962" t="s">
        <v>1695</v>
      </c>
      <c r="H2962" t="s">
        <v>20</v>
      </c>
      <c r="I2962">
        <v>1533</v>
      </c>
      <c r="J2962" t="s">
        <v>21</v>
      </c>
      <c r="K2962">
        <v>0</v>
      </c>
      <c r="M2962">
        <v>1386</v>
      </c>
    </row>
    <row r="2963" spans="1:13">
      <c r="A2963">
        <v>2957</v>
      </c>
      <c r="B2963">
        <v>67401</v>
      </c>
      <c r="C2963" t="s">
        <v>6485</v>
      </c>
      <c r="D2963" t="s">
        <v>180</v>
      </c>
      <c r="E2963" t="s">
        <v>6486</v>
      </c>
      <c r="F2963" t="str">
        <f>"200712003866"</f>
        <v>200712003866</v>
      </c>
      <c r="G2963" t="s">
        <v>540</v>
      </c>
      <c r="H2963" t="s">
        <v>20</v>
      </c>
      <c r="I2963">
        <v>1435</v>
      </c>
      <c r="J2963" t="s">
        <v>21</v>
      </c>
      <c r="K2963">
        <v>0</v>
      </c>
      <c r="L2963" t="s">
        <v>35</v>
      </c>
      <c r="M2963">
        <v>1036</v>
      </c>
    </row>
    <row r="2964" spans="1:13">
      <c r="A2964">
        <v>2958</v>
      </c>
      <c r="B2964">
        <v>53882</v>
      </c>
      <c r="C2964" t="s">
        <v>6487</v>
      </c>
      <c r="D2964" t="s">
        <v>73</v>
      </c>
      <c r="E2964" t="s">
        <v>6488</v>
      </c>
      <c r="F2964" t="str">
        <f>"201412002427"</f>
        <v>201412002427</v>
      </c>
      <c r="G2964" t="s">
        <v>465</v>
      </c>
      <c r="H2964" t="s">
        <v>20</v>
      </c>
      <c r="I2964">
        <v>1534</v>
      </c>
      <c r="J2964" t="s">
        <v>21</v>
      </c>
      <c r="K2964">
        <v>0</v>
      </c>
      <c r="M2964">
        <v>1438</v>
      </c>
    </row>
    <row r="2965" spans="1:13">
      <c r="A2965">
        <v>2959</v>
      </c>
      <c r="B2965">
        <v>48306</v>
      </c>
      <c r="C2965" t="s">
        <v>6489</v>
      </c>
      <c r="D2965" t="s">
        <v>73</v>
      </c>
      <c r="E2965" t="s">
        <v>6490</v>
      </c>
      <c r="F2965" t="str">
        <f>"00272316"</f>
        <v>00272316</v>
      </c>
      <c r="G2965" t="s">
        <v>29</v>
      </c>
      <c r="H2965" t="s">
        <v>20</v>
      </c>
      <c r="I2965">
        <v>1446</v>
      </c>
      <c r="J2965" t="s">
        <v>21</v>
      </c>
      <c r="K2965">
        <v>0</v>
      </c>
      <c r="L2965" t="s">
        <v>112</v>
      </c>
      <c r="M2965">
        <v>958</v>
      </c>
    </row>
    <row r="2966" spans="1:13">
      <c r="A2966">
        <v>2960</v>
      </c>
      <c r="B2966">
        <v>80219</v>
      </c>
      <c r="C2966" t="s">
        <v>6491</v>
      </c>
      <c r="D2966" t="s">
        <v>391</v>
      </c>
      <c r="E2966" t="s">
        <v>6492</v>
      </c>
      <c r="F2966" t="str">
        <f>"00332239"</f>
        <v>00332239</v>
      </c>
      <c r="G2966" t="s">
        <v>341</v>
      </c>
      <c r="H2966" t="s">
        <v>20</v>
      </c>
      <c r="I2966">
        <v>1553</v>
      </c>
      <c r="J2966" t="s">
        <v>21</v>
      </c>
      <c r="K2966">
        <v>6</v>
      </c>
      <c r="L2966" t="s">
        <v>35</v>
      </c>
      <c r="M2966">
        <v>936</v>
      </c>
    </row>
    <row r="2967" spans="1:13">
      <c r="A2967">
        <v>2961</v>
      </c>
      <c r="B2967">
        <v>74269</v>
      </c>
      <c r="C2967" t="s">
        <v>6493</v>
      </c>
      <c r="D2967" t="s">
        <v>243</v>
      </c>
      <c r="E2967" t="s">
        <v>6494</v>
      </c>
      <c r="F2967" t="str">
        <f>"201511023956"</f>
        <v>201511023956</v>
      </c>
      <c r="G2967" t="s">
        <v>125</v>
      </c>
      <c r="H2967" t="s">
        <v>20</v>
      </c>
      <c r="I2967">
        <v>1507</v>
      </c>
      <c r="J2967" t="s">
        <v>21</v>
      </c>
      <c r="K2967">
        <v>0</v>
      </c>
      <c r="L2967" t="s">
        <v>83</v>
      </c>
      <c r="M2967">
        <v>1268</v>
      </c>
    </row>
    <row r="2968" spans="1:13">
      <c r="A2968">
        <v>2962</v>
      </c>
      <c r="B2968">
        <v>107812</v>
      </c>
      <c r="C2968" t="s">
        <v>6495</v>
      </c>
      <c r="D2968" t="s">
        <v>218</v>
      </c>
      <c r="E2968" t="s">
        <v>6496</v>
      </c>
      <c r="F2968" t="str">
        <f>"00076817"</f>
        <v>00076817</v>
      </c>
      <c r="G2968" t="s">
        <v>63</v>
      </c>
      <c r="H2968" t="s">
        <v>20</v>
      </c>
      <c r="I2968">
        <v>1576</v>
      </c>
      <c r="J2968" t="s">
        <v>21</v>
      </c>
      <c r="K2968">
        <v>0</v>
      </c>
      <c r="M2968">
        <v>1370</v>
      </c>
    </row>
    <row r="2969" spans="1:13">
      <c r="A2969">
        <v>2963</v>
      </c>
      <c r="B2969">
        <v>83657</v>
      </c>
      <c r="C2969" t="s">
        <v>6497</v>
      </c>
      <c r="D2969" t="s">
        <v>121</v>
      </c>
      <c r="E2969" t="s">
        <v>6498</v>
      </c>
      <c r="F2969" t="str">
        <f>"00402839"</f>
        <v>00402839</v>
      </c>
      <c r="G2969" t="s">
        <v>1203</v>
      </c>
      <c r="H2969" t="s">
        <v>20</v>
      </c>
      <c r="I2969">
        <v>1443</v>
      </c>
      <c r="J2969" t="s">
        <v>21</v>
      </c>
      <c r="K2969">
        <v>0</v>
      </c>
      <c r="M2969">
        <v>1529</v>
      </c>
    </row>
    <row r="2970" spans="1:13">
      <c r="A2970">
        <v>2964</v>
      </c>
      <c r="B2970">
        <v>68893</v>
      </c>
      <c r="C2970" t="s">
        <v>6499</v>
      </c>
      <c r="D2970" t="s">
        <v>1327</v>
      </c>
      <c r="E2970" t="s">
        <v>6500</v>
      </c>
      <c r="F2970" t="str">
        <f>"00372712"</f>
        <v>00372712</v>
      </c>
      <c r="G2970" t="s">
        <v>1155</v>
      </c>
      <c r="H2970" t="s">
        <v>20</v>
      </c>
      <c r="I2970">
        <v>1480</v>
      </c>
      <c r="J2970" t="s">
        <v>21</v>
      </c>
      <c r="K2970">
        <v>0</v>
      </c>
      <c r="L2970" t="s">
        <v>35</v>
      </c>
      <c r="M2970">
        <v>1312</v>
      </c>
    </row>
    <row r="2971" spans="1:13">
      <c r="A2971">
        <v>2965</v>
      </c>
      <c r="B2971">
        <v>55008</v>
      </c>
      <c r="C2971" t="s">
        <v>6501</v>
      </c>
      <c r="D2971" t="s">
        <v>951</v>
      </c>
      <c r="E2971" t="s">
        <v>6502</v>
      </c>
      <c r="F2971" t="str">
        <f>"200712003278"</f>
        <v>200712003278</v>
      </c>
      <c r="G2971" t="s">
        <v>1203</v>
      </c>
      <c r="H2971" t="s">
        <v>20</v>
      </c>
      <c r="I2971">
        <v>1443</v>
      </c>
      <c r="J2971" t="s">
        <v>21</v>
      </c>
      <c r="K2971">
        <v>0</v>
      </c>
      <c r="L2971" t="s">
        <v>35</v>
      </c>
      <c r="M2971">
        <v>1050</v>
      </c>
    </row>
    <row r="2972" spans="1:13">
      <c r="A2972">
        <v>2966</v>
      </c>
      <c r="B2972">
        <v>84529</v>
      </c>
      <c r="C2972" t="s">
        <v>6503</v>
      </c>
      <c r="D2972" t="s">
        <v>3192</v>
      </c>
      <c r="E2972" t="s">
        <v>6504</v>
      </c>
      <c r="F2972" t="str">
        <f>"201512001407"</f>
        <v>201512001407</v>
      </c>
      <c r="G2972" t="s">
        <v>107</v>
      </c>
      <c r="H2972" t="s">
        <v>20</v>
      </c>
      <c r="I2972">
        <v>1472</v>
      </c>
      <c r="J2972" t="s">
        <v>21</v>
      </c>
      <c r="K2972">
        <v>0</v>
      </c>
      <c r="L2972" t="s">
        <v>59</v>
      </c>
      <c r="M2972">
        <v>1228</v>
      </c>
    </row>
    <row r="2973" spans="1:13">
      <c r="A2973">
        <v>2967</v>
      </c>
      <c r="B2973">
        <v>59522</v>
      </c>
      <c r="C2973" t="s">
        <v>6505</v>
      </c>
      <c r="D2973" t="s">
        <v>80</v>
      </c>
      <c r="E2973" t="s">
        <v>6506</v>
      </c>
      <c r="F2973" t="str">
        <f>"00353372"</f>
        <v>00353372</v>
      </c>
      <c r="G2973" t="s">
        <v>147</v>
      </c>
      <c r="H2973" t="s">
        <v>20</v>
      </c>
      <c r="I2973">
        <v>1529</v>
      </c>
      <c r="J2973" t="s">
        <v>21</v>
      </c>
      <c r="K2973">
        <v>0</v>
      </c>
      <c r="L2973" t="s">
        <v>35</v>
      </c>
      <c r="M2973">
        <v>938</v>
      </c>
    </row>
    <row r="2974" spans="1:13">
      <c r="A2974">
        <v>2968</v>
      </c>
      <c r="B2974">
        <v>103346</v>
      </c>
      <c r="C2974" t="s">
        <v>6507</v>
      </c>
      <c r="D2974" t="s">
        <v>76</v>
      </c>
      <c r="E2974" t="s">
        <v>6508</v>
      </c>
      <c r="F2974" t="str">
        <f>"00087453"</f>
        <v>00087453</v>
      </c>
      <c r="G2974" t="s">
        <v>2440</v>
      </c>
      <c r="H2974" t="s">
        <v>20</v>
      </c>
      <c r="I2974">
        <v>1567</v>
      </c>
      <c r="J2974" t="s">
        <v>21</v>
      </c>
      <c r="K2974">
        <v>0</v>
      </c>
      <c r="M2974">
        <v>1528</v>
      </c>
    </row>
    <row r="2975" spans="1:13">
      <c r="A2975">
        <v>2969</v>
      </c>
      <c r="B2975">
        <v>79595</v>
      </c>
      <c r="C2975" t="s">
        <v>6509</v>
      </c>
      <c r="D2975" t="s">
        <v>90</v>
      </c>
      <c r="E2975" t="s">
        <v>6510</v>
      </c>
      <c r="F2975" t="str">
        <f>"201511022729"</f>
        <v>201511022729</v>
      </c>
      <c r="G2975" t="s">
        <v>29</v>
      </c>
      <c r="H2975" t="s">
        <v>20</v>
      </c>
      <c r="I2975">
        <v>1446</v>
      </c>
      <c r="J2975" t="s">
        <v>21</v>
      </c>
      <c r="K2975">
        <v>0</v>
      </c>
      <c r="L2975" t="s">
        <v>35</v>
      </c>
      <c r="M2975">
        <v>1008</v>
      </c>
    </row>
    <row r="2976" spans="1:13">
      <c r="A2976">
        <v>2970</v>
      </c>
      <c r="B2976">
        <v>110332</v>
      </c>
      <c r="C2976" t="s">
        <v>6511</v>
      </c>
      <c r="D2976" t="s">
        <v>102</v>
      </c>
      <c r="E2976" t="s">
        <v>6512</v>
      </c>
      <c r="F2976" t="str">
        <f>"00417286"</f>
        <v>00417286</v>
      </c>
      <c r="G2976" t="s">
        <v>3280</v>
      </c>
      <c r="H2976" t="s">
        <v>20</v>
      </c>
      <c r="I2976">
        <v>1557</v>
      </c>
      <c r="J2976" t="s">
        <v>21</v>
      </c>
      <c r="K2976">
        <v>6</v>
      </c>
      <c r="M2976">
        <v>1529</v>
      </c>
    </row>
    <row r="2977" spans="1:13">
      <c r="A2977">
        <v>2971</v>
      </c>
      <c r="B2977">
        <v>55869</v>
      </c>
      <c r="C2977" t="s">
        <v>6513</v>
      </c>
      <c r="D2977" t="s">
        <v>507</v>
      </c>
      <c r="E2977" t="s">
        <v>6514</v>
      </c>
      <c r="F2977" t="str">
        <f>"00048207"</f>
        <v>00048207</v>
      </c>
      <c r="G2977" t="s">
        <v>600</v>
      </c>
      <c r="H2977" t="s">
        <v>366</v>
      </c>
      <c r="I2977">
        <v>1694</v>
      </c>
      <c r="J2977" t="s">
        <v>21</v>
      </c>
      <c r="K2977">
        <v>0</v>
      </c>
      <c r="M2977">
        <v>1588</v>
      </c>
    </row>
    <row r="2978" spans="1:13">
      <c r="A2978">
        <v>2972</v>
      </c>
      <c r="B2978">
        <v>101572</v>
      </c>
      <c r="C2978" t="s">
        <v>6515</v>
      </c>
      <c r="D2978" t="s">
        <v>243</v>
      </c>
      <c r="E2978" t="s">
        <v>6516</v>
      </c>
      <c r="F2978" t="str">
        <f>"00377780"</f>
        <v>00377780</v>
      </c>
      <c r="G2978" t="s">
        <v>47</v>
      </c>
      <c r="H2978" t="s">
        <v>48</v>
      </c>
      <c r="I2978">
        <v>1623</v>
      </c>
      <c r="J2978" t="s">
        <v>21</v>
      </c>
      <c r="K2978">
        <v>0</v>
      </c>
      <c r="M2978">
        <v>1378</v>
      </c>
    </row>
    <row r="2979" spans="1:13">
      <c r="A2979">
        <v>2973</v>
      </c>
      <c r="B2979">
        <v>106175</v>
      </c>
      <c r="C2979" t="s">
        <v>6517</v>
      </c>
      <c r="D2979" t="s">
        <v>700</v>
      </c>
      <c r="E2979" t="s">
        <v>6518</v>
      </c>
      <c r="F2979" t="str">
        <f>"00406312"</f>
        <v>00406312</v>
      </c>
      <c r="G2979" t="s">
        <v>892</v>
      </c>
      <c r="H2979" t="s">
        <v>20</v>
      </c>
      <c r="I2979">
        <v>1410</v>
      </c>
      <c r="J2979" t="s">
        <v>21</v>
      </c>
      <c r="K2979">
        <v>0</v>
      </c>
      <c r="L2979" t="s">
        <v>83</v>
      </c>
      <c r="M2979">
        <v>1188</v>
      </c>
    </row>
    <row r="2980" spans="1:13">
      <c r="A2980">
        <v>2974</v>
      </c>
      <c r="B2980">
        <v>76774</v>
      </c>
      <c r="C2980" t="s">
        <v>6519</v>
      </c>
      <c r="D2980" t="s">
        <v>180</v>
      </c>
      <c r="E2980" t="s">
        <v>6520</v>
      </c>
      <c r="F2980" t="str">
        <f>"00042434"</f>
        <v>00042434</v>
      </c>
      <c r="G2980" t="s">
        <v>230</v>
      </c>
      <c r="H2980" t="s">
        <v>20</v>
      </c>
      <c r="I2980">
        <v>1545</v>
      </c>
      <c r="J2980" t="s">
        <v>21</v>
      </c>
      <c r="K2980">
        <v>0</v>
      </c>
      <c r="L2980" t="s">
        <v>2884</v>
      </c>
      <c r="M2980">
        <v>836</v>
      </c>
    </row>
    <row r="2981" spans="1:13">
      <c r="A2981">
        <v>2975</v>
      </c>
      <c r="B2981">
        <v>62594</v>
      </c>
      <c r="C2981" t="s">
        <v>6521</v>
      </c>
      <c r="D2981" t="s">
        <v>163</v>
      </c>
      <c r="E2981" t="s">
        <v>6522</v>
      </c>
      <c r="F2981" t="str">
        <f>"00257573"</f>
        <v>00257573</v>
      </c>
      <c r="G2981" t="s">
        <v>196</v>
      </c>
      <c r="H2981" t="s">
        <v>20</v>
      </c>
      <c r="I2981">
        <v>1512</v>
      </c>
      <c r="J2981" t="s">
        <v>21</v>
      </c>
      <c r="K2981">
        <v>6</v>
      </c>
      <c r="L2981" t="s">
        <v>59</v>
      </c>
      <c r="M2981">
        <v>1088</v>
      </c>
    </row>
    <row r="2982" spans="1:13">
      <c r="A2982">
        <v>2976</v>
      </c>
      <c r="B2982">
        <v>99361</v>
      </c>
      <c r="C2982" t="s">
        <v>6523</v>
      </c>
      <c r="D2982" t="s">
        <v>76</v>
      </c>
      <c r="E2982" t="s">
        <v>6524</v>
      </c>
      <c r="F2982" t="str">
        <f>"00386824"</f>
        <v>00386824</v>
      </c>
      <c r="G2982" t="s">
        <v>136</v>
      </c>
      <c r="H2982" t="s">
        <v>137</v>
      </c>
      <c r="I2982">
        <v>1612</v>
      </c>
      <c r="J2982" t="s">
        <v>21</v>
      </c>
      <c r="K2982">
        <v>0</v>
      </c>
      <c r="M2982">
        <v>1728</v>
      </c>
    </row>
    <row r="2983" spans="1:13">
      <c r="A2983">
        <v>2977</v>
      </c>
      <c r="B2983">
        <v>107348</v>
      </c>
      <c r="C2983" t="s">
        <v>6525</v>
      </c>
      <c r="D2983" t="s">
        <v>180</v>
      </c>
      <c r="E2983" t="s">
        <v>6526</v>
      </c>
      <c r="F2983" t="str">
        <f>"00291822"</f>
        <v>00291822</v>
      </c>
      <c r="G2983" t="s">
        <v>170</v>
      </c>
      <c r="H2983" t="s">
        <v>423</v>
      </c>
      <c r="I2983">
        <v>1636</v>
      </c>
      <c r="J2983" t="s">
        <v>21</v>
      </c>
      <c r="K2983">
        <v>0</v>
      </c>
      <c r="L2983" t="s">
        <v>35</v>
      </c>
      <c r="M2983">
        <v>908</v>
      </c>
    </row>
    <row r="2984" spans="1:13">
      <c r="A2984">
        <v>2978</v>
      </c>
      <c r="B2984">
        <v>109834</v>
      </c>
      <c r="C2984" t="s">
        <v>6527</v>
      </c>
      <c r="D2984" t="s">
        <v>905</v>
      </c>
      <c r="E2984" t="s">
        <v>6528</v>
      </c>
      <c r="F2984" t="str">
        <f>"00160691"</f>
        <v>00160691</v>
      </c>
      <c r="G2984" t="s">
        <v>47</v>
      </c>
      <c r="H2984" t="s">
        <v>48</v>
      </c>
      <c r="I2984">
        <v>1623</v>
      </c>
      <c r="J2984" t="s">
        <v>21</v>
      </c>
      <c r="K2984">
        <v>0</v>
      </c>
      <c r="L2984" t="s">
        <v>59</v>
      </c>
      <c r="M2984">
        <v>938</v>
      </c>
    </row>
    <row r="2985" spans="1:13">
      <c r="A2985">
        <v>2979</v>
      </c>
      <c r="B2985">
        <v>91204</v>
      </c>
      <c r="C2985" t="s">
        <v>6529</v>
      </c>
      <c r="D2985" t="s">
        <v>145</v>
      </c>
      <c r="E2985" t="s">
        <v>6530</v>
      </c>
      <c r="F2985" t="str">
        <f>"00349971"</f>
        <v>00349971</v>
      </c>
      <c r="G2985" t="s">
        <v>733</v>
      </c>
      <c r="H2985" t="s">
        <v>734</v>
      </c>
      <c r="I2985">
        <v>1596</v>
      </c>
      <c r="J2985" t="s">
        <v>21</v>
      </c>
      <c r="K2985">
        <v>0</v>
      </c>
      <c r="L2985" t="s">
        <v>59</v>
      </c>
      <c r="M2985">
        <v>1074</v>
      </c>
    </row>
    <row r="2986" spans="1:13">
      <c r="A2986">
        <v>2980</v>
      </c>
      <c r="B2986">
        <v>91470</v>
      </c>
      <c r="C2986" t="s">
        <v>6531</v>
      </c>
      <c r="D2986" t="s">
        <v>105</v>
      </c>
      <c r="E2986" t="s">
        <v>6532</v>
      </c>
      <c r="F2986" t="str">
        <f>"00201336"</f>
        <v>00201336</v>
      </c>
      <c r="G2986" t="s">
        <v>4036</v>
      </c>
      <c r="H2986" t="s">
        <v>20</v>
      </c>
      <c r="I2986">
        <v>1442</v>
      </c>
      <c r="J2986" t="s">
        <v>21</v>
      </c>
      <c r="K2986">
        <v>0</v>
      </c>
      <c r="L2986" t="s">
        <v>35</v>
      </c>
      <c r="M2986">
        <v>1000</v>
      </c>
    </row>
    <row r="2987" spans="1:13">
      <c r="A2987">
        <v>2981</v>
      </c>
      <c r="B2987">
        <v>112601</v>
      </c>
      <c r="C2987" t="s">
        <v>6533</v>
      </c>
      <c r="D2987" t="s">
        <v>80</v>
      </c>
      <c r="E2987" t="s">
        <v>6534</v>
      </c>
      <c r="F2987" t="str">
        <f>"00415653"</f>
        <v>00415653</v>
      </c>
      <c r="G2987" t="s">
        <v>600</v>
      </c>
      <c r="H2987" t="s">
        <v>366</v>
      </c>
      <c r="I2987">
        <v>1694</v>
      </c>
      <c r="J2987" t="s">
        <v>21</v>
      </c>
      <c r="K2987">
        <v>0</v>
      </c>
      <c r="M2987">
        <v>1328</v>
      </c>
    </row>
    <row r="2988" spans="1:13">
      <c r="A2988">
        <v>2982</v>
      </c>
      <c r="B2988">
        <v>81872</v>
      </c>
      <c r="C2988" t="s">
        <v>6535</v>
      </c>
      <c r="D2988" t="s">
        <v>105</v>
      </c>
      <c r="E2988" t="s">
        <v>6536</v>
      </c>
      <c r="F2988" t="str">
        <f>"00384729"</f>
        <v>00384729</v>
      </c>
      <c r="G2988" t="s">
        <v>245</v>
      </c>
      <c r="H2988" t="s">
        <v>20</v>
      </c>
      <c r="I2988">
        <v>1406</v>
      </c>
      <c r="J2988" t="s">
        <v>21</v>
      </c>
      <c r="K2988">
        <v>0</v>
      </c>
      <c r="M2988">
        <v>1388</v>
      </c>
    </row>
    <row r="2989" spans="1:13">
      <c r="A2989">
        <v>2983</v>
      </c>
      <c r="B2989">
        <v>74992</v>
      </c>
      <c r="C2989" t="s">
        <v>6537</v>
      </c>
      <c r="D2989" t="s">
        <v>6538</v>
      </c>
      <c r="E2989" t="s">
        <v>6539</v>
      </c>
      <c r="F2989" t="str">
        <f>"00400370"</f>
        <v>00400370</v>
      </c>
      <c r="G2989" t="s">
        <v>19</v>
      </c>
      <c r="H2989" t="s">
        <v>20</v>
      </c>
      <c r="I2989">
        <v>1531</v>
      </c>
      <c r="J2989" t="s">
        <v>21</v>
      </c>
      <c r="K2989">
        <v>0</v>
      </c>
      <c r="M2989">
        <v>1382</v>
      </c>
    </row>
    <row r="2990" spans="1:13">
      <c r="A2990">
        <v>2984</v>
      </c>
      <c r="B2990">
        <v>94074</v>
      </c>
      <c r="C2990" t="s">
        <v>6540</v>
      </c>
      <c r="D2990" t="s">
        <v>76</v>
      </c>
      <c r="E2990" t="s">
        <v>6541</v>
      </c>
      <c r="F2990" t="str">
        <f>"00383564"</f>
        <v>00383564</v>
      </c>
      <c r="G2990" t="s">
        <v>760</v>
      </c>
      <c r="H2990" t="s">
        <v>20</v>
      </c>
      <c r="I2990">
        <v>1432</v>
      </c>
      <c r="J2990" t="s">
        <v>21</v>
      </c>
      <c r="K2990">
        <v>0</v>
      </c>
      <c r="M2990">
        <v>2288</v>
      </c>
    </row>
    <row r="2991" spans="1:13">
      <c r="A2991">
        <v>2985</v>
      </c>
      <c r="B2991">
        <v>115051</v>
      </c>
      <c r="C2991" t="s">
        <v>6542</v>
      </c>
      <c r="D2991" t="s">
        <v>180</v>
      </c>
      <c r="E2991" t="s">
        <v>6543</v>
      </c>
      <c r="F2991" t="str">
        <f>"00236479"</f>
        <v>00236479</v>
      </c>
      <c r="G2991" t="s">
        <v>19</v>
      </c>
      <c r="H2991" t="s">
        <v>20</v>
      </c>
      <c r="I2991">
        <v>1531</v>
      </c>
      <c r="J2991" t="s">
        <v>21</v>
      </c>
      <c r="K2991">
        <v>0</v>
      </c>
      <c r="L2991" t="s">
        <v>88</v>
      </c>
      <c r="M2991">
        <v>536</v>
      </c>
    </row>
    <row r="2992" spans="1:13">
      <c r="A2992">
        <v>2986</v>
      </c>
      <c r="B2992">
        <v>46316</v>
      </c>
      <c r="C2992" t="s">
        <v>6544</v>
      </c>
      <c r="D2992" t="s">
        <v>102</v>
      </c>
      <c r="E2992" t="s">
        <v>6545</v>
      </c>
      <c r="F2992" t="str">
        <f>"00284356"</f>
        <v>00284356</v>
      </c>
      <c r="G2992" t="s">
        <v>632</v>
      </c>
      <c r="H2992" t="s">
        <v>20</v>
      </c>
      <c r="I2992">
        <v>1461</v>
      </c>
      <c r="J2992" t="s">
        <v>21</v>
      </c>
      <c r="K2992">
        <v>0</v>
      </c>
      <c r="M2992">
        <v>1588</v>
      </c>
    </row>
    <row r="2993" spans="1:13">
      <c r="A2993">
        <v>2987</v>
      </c>
      <c r="B2993">
        <v>67557</v>
      </c>
      <c r="C2993" t="s">
        <v>6546</v>
      </c>
      <c r="D2993" t="s">
        <v>109</v>
      </c>
      <c r="E2993" t="s">
        <v>6547</v>
      </c>
      <c r="F2993" t="str">
        <f>"00402572"</f>
        <v>00402572</v>
      </c>
      <c r="G2993" t="s">
        <v>883</v>
      </c>
      <c r="H2993" t="s">
        <v>270</v>
      </c>
      <c r="I2993">
        <v>1585</v>
      </c>
      <c r="J2993" t="s">
        <v>21</v>
      </c>
      <c r="K2993">
        <v>0</v>
      </c>
      <c r="M2993">
        <v>1448</v>
      </c>
    </row>
    <row r="2994" spans="1:13">
      <c r="A2994">
        <v>2988</v>
      </c>
      <c r="B2994">
        <v>74569</v>
      </c>
      <c r="C2994" t="s">
        <v>6548</v>
      </c>
      <c r="D2994" t="s">
        <v>76</v>
      </c>
      <c r="E2994" t="s">
        <v>6549</v>
      </c>
      <c r="F2994" t="str">
        <f>"00398906"</f>
        <v>00398906</v>
      </c>
      <c r="G2994" t="s">
        <v>856</v>
      </c>
      <c r="H2994" t="s">
        <v>366</v>
      </c>
      <c r="I2994">
        <v>1706</v>
      </c>
      <c r="J2994" t="s">
        <v>21</v>
      </c>
      <c r="K2994">
        <v>0</v>
      </c>
      <c r="L2994" t="s">
        <v>35</v>
      </c>
      <c r="M2994">
        <v>908</v>
      </c>
    </row>
    <row r="2995" spans="1:13">
      <c r="A2995">
        <v>2989</v>
      </c>
      <c r="B2995">
        <v>71852</v>
      </c>
      <c r="C2995" t="s">
        <v>6550</v>
      </c>
      <c r="D2995" t="s">
        <v>2950</v>
      </c>
      <c r="E2995" t="s">
        <v>6551</v>
      </c>
      <c r="F2995" t="str">
        <f>"00416946"</f>
        <v>00416946</v>
      </c>
      <c r="G2995" t="s">
        <v>170</v>
      </c>
      <c r="H2995" t="s">
        <v>20</v>
      </c>
      <c r="I2995">
        <v>1412</v>
      </c>
      <c r="J2995" t="s">
        <v>21</v>
      </c>
      <c r="K2995">
        <v>0</v>
      </c>
      <c r="L2995" t="s">
        <v>35</v>
      </c>
      <c r="M2995">
        <v>875</v>
      </c>
    </row>
    <row r="2996" spans="1:13">
      <c r="A2996">
        <v>2990</v>
      </c>
      <c r="B2996">
        <v>81157</v>
      </c>
      <c r="C2996" t="s">
        <v>6552</v>
      </c>
      <c r="D2996" t="s">
        <v>2562</v>
      </c>
      <c r="E2996" t="s">
        <v>6553</v>
      </c>
      <c r="F2996" t="str">
        <f>"00377496"</f>
        <v>00377496</v>
      </c>
      <c r="G2996" t="s">
        <v>1074</v>
      </c>
      <c r="H2996" t="s">
        <v>48</v>
      </c>
      <c r="I2996">
        <v>1627</v>
      </c>
      <c r="J2996" t="s">
        <v>21</v>
      </c>
      <c r="K2996">
        <v>6</v>
      </c>
      <c r="M2996">
        <v>1172</v>
      </c>
    </row>
    <row r="2997" spans="1:13">
      <c r="A2997">
        <v>2991</v>
      </c>
      <c r="B2997">
        <v>85104</v>
      </c>
      <c r="C2997" t="s">
        <v>6554</v>
      </c>
      <c r="D2997" t="s">
        <v>905</v>
      </c>
      <c r="E2997" t="s">
        <v>6555</v>
      </c>
      <c r="F2997" t="str">
        <f>"00393335"</f>
        <v>00393335</v>
      </c>
      <c r="G2997" t="s">
        <v>196</v>
      </c>
      <c r="H2997" t="s">
        <v>20</v>
      </c>
      <c r="I2997">
        <v>1512</v>
      </c>
      <c r="J2997" t="s">
        <v>21</v>
      </c>
      <c r="K2997">
        <v>6</v>
      </c>
      <c r="M2997">
        <v>1426</v>
      </c>
    </row>
    <row r="2998" spans="1:13">
      <c r="A2998">
        <v>2992</v>
      </c>
      <c r="B2998">
        <v>82432</v>
      </c>
      <c r="C2998" t="s">
        <v>6556</v>
      </c>
      <c r="D2998" t="s">
        <v>121</v>
      </c>
      <c r="E2998" t="s">
        <v>6557</v>
      </c>
      <c r="F2998" t="str">
        <f>"00387793"</f>
        <v>00387793</v>
      </c>
      <c r="G2998" t="s">
        <v>2698</v>
      </c>
      <c r="H2998" t="s">
        <v>3640</v>
      </c>
      <c r="I2998">
        <v>1714</v>
      </c>
      <c r="J2998" t="s">
        <v>21</v>
      </c>
      <c r="K2998">
        <v>0</v>
      </c>
      <c r="M2998">
        <v>1418</v>
      </c>
    </row>
    <row r="2999" spans="1:13">
      <c r="A2999">
        <v>2993</v>
      </c>
      <c r="B2999">
        <v>84912</v>
      </c>
      <c r="C2999" t="s">
        <v>6558</v>
      </c>
      <c r="D2999" t="s">
        <v>218</v>
      </c>
      <c r="E2999" t="s">
        <v>6559</v>
      </c>
      <c r="F2999" t="str">
        <f>"00199282"</f>
        <v>00199282</v>
      </c>
      <c r="G2999" t="s">
        <v>1125</v>
      </c>
      <c r="H2999" t="s">
        <v>20</v>
      </c>
      <c r="I2999">
        <v>1431</v>
      </c>
      <c r="J2999" t="s">
        <v>21</v>
      </c>
      <c r="K2999">
        <v>0</v>
      </c>
      <c r="M2999">
        <v>1643</v>
      </c>
    </row>
    <row r="3000" spans="1:13">
      <c r="A3000">
        <v>2994</v>
      </c>
      <c r="B3000">
        <v>114533</v>
      </c>
      <c r="C3000" t="s">
        <v>6560</v>
      </c>
      <c r="D3000" t="s">
        <v>90</v>
      </c>
      <c r="E3000" t="s">
        <v>6561</v>
      </c>
      <c r="F3000" t="str">
        <f>"201510001564"</f>
        <v>201510001564</v>
      </c>
      <c r="G3000" t="s">
        <v>520</v>
      </c>
      <c r="H3000" t="s">
        <v>20</v>
      </c>
      <c r="I3000">
        <v>1540</v>
      </c>
      <c r="J3000" t="s">
        <v>21</v>
      </c>
      <c r="K3000">
        <v>0</v>
      </c>
      <c r="L3000" t="s">
        <v>35</v>
      </c>
      <c r="M3000">
        <v>958</v>
      </c>
    </row>
    <row r="3001" spans="1:13">
      <c r="A3001">
        <v>2995</v>
      </c>
      <c r="B3001">
        <v>100502</v>
      </c>
      <c r="C3001" t="s">
        <v>6562</v>
      </c>
      <c r="D3001" t="s">
        <v>700</v>
      </c>
      <c r="E3001" t="s">
        <v>6563</v>
      </c>
      <c r="F3001" t="str">
        <f>"00299498"</f>
        <v>00299498</v>
      </c>
      <c r="G3001" t="s">
        <v>1321</v>
      </c>
      <c r="H3001" t="s">
        <v>234</v>
      </c>
      <c r="I3001">
        <v>1330</v>
      </c>
      <c r="J3001" t="s">
        <v>21</v>
      </c>
      <c r="K3001">
        <v>0</v>
      </c>
      <c r="L3001" t="s">
        <v>35</v>
      </c>
      <c r="M3001">
        <v>1050</v>
      </c>
    </row>
    <row r="3002" spans="1:13">
      <c r="A3002">
        <v>2996</v>
      </c>
      <c r="B3002">
        <v>86800</v>
      </c>
      <c r="C3002" t="s">
        <v>6564</v>
      </c>
      <c r="D3002" t="s">
        <v>205</v>
      </c>
      <c r="E3002" t="s">
        <v>6565</v>
      </c>
      <c r="F3002" t="str">
        <f>"00378231"</f>
        <v>00378231</v>
      </c>
      <c r="G3002" t="s">
        <v>47</v>
      </c>
      <c r="H3002" t="s">
        <v>48</v>
      </c>
      <c r="I3002">
        <v>1623</v>
      </c>
      <c r="J3002" t="s">
        <v>21</v>
      </c>
      <c r="K3002">
        <v>0</v>
      </c>
      <c r="M3002">
        <v>1438</v>
      </c>
    </row>
    <row r="3003" spans="1:13">
      <c r="A3003">
        <v>2997</v>
      </c>
      <c r="B3003">
        <v>46106</v>
      </c>
      <c r="C3003" t="s">
        <v>6566</v>
      </c>
      <c r="D3003" t="s">
        <v>1385</v>
      </c>
      <c r="E3003" t="s">
        <v>6567</v>
      </c>
      <c r="F3003" t="str">
        <f>"201412003580"</f>
        <v>201412003580</v>
      </c>
      <c r="G3003" t="s">
        <v>1084</v>
      </c>
      <c r="H3003" t="s">
        <v>1085</v>
      </c>
      <c r="I3003">
        <v>1588</v>
      </c>
      <c r="J3003" t="s">
        <v>21</v>
      </c>
      <c r="K3003">
        <v>0</v>
      </c>
      <c r="L3003" t="s">
        <v>83</v>
      </c>
      <c r="M3003">
        <v>1188</v>
      </c>
    </row>
    <row r="3004" spans="1:13">
      <c r="A3004">
        <v>2998</v>
      </c>
      <c r="B3004">
        <v>59072</v>
      </c>
      <c r="C3004" t="s">
        <v>6568</v>
      </c>
      <c r="D3004" t="s">
        <v>598</v>
      </c>
      <c r="E3004" t="s">
        <v>6569</v>
      </c>
      <c r="F3004" t="str">
        <f>"00253519"</f>
        <v>00253519</v>
      </c>
      <c r="G3004" t="s">
        <v>82</v>
      </c>
      <c r="H3004" t="s">
        <v>20</v>
      </c>
      <c r="I3004">
        <v>1475</v>
      </c>
      <c r="J3004" t="s">
        <v>21</v>
      </c>
      <c r="K3004">
        <v>0</v>
      </c>
      <c r="L3004" t="s">
        <v>35</v>
      </c>
      <c r="M3004">
        <v>908</v>
      </c>
    </row>
    <row r="3005" spans="1:13">
      <c r="A3005">
        <v>2999</v>
      </c>
      <c r="B3005">
        <v>64853</v>
      </c>
      <c r="C3005" t="s">
        <v>6570</v>
      </c>
      <c r="D3005" t="s">
        <v>1492</v>
      </c>
      <c r="E3005" t="s">
        <v>6571</v>
      </c>
      <c r="F3005" t="str">
        <f>"00269194"</f>
        <v>00269194</v>
      </c>
      <c r="G3005" t="s">
        <v>1695</v>
      </c>
      <c r="H3005" t="s">
        <v>20</v>
      </c>
      <c r="I3005">
        <v>1533</v>
      </c>
      <c r="J3005" t="s">
        <v>21</v>
      </c>
      <c r="K3005">
        <v>0</v>
      </c>
      <c r="M3005">
        <v>1478</v>
      </c>
    </row>
    <row r="3006" spans="1:13">
      <c r="A3006">
        <v>3000</v>
      </c>
      <c r="B3006">
        <v>71774</v>
      </c>
      <c r="C3006" t="s">
        <v>6572</v>
      </c>
      <c r="D3006" t="s">
        <v>243</v>
      </c>
      <c r="E3006" t="s">
        <v>6573</v>
      </c>
      <c r="F3006" t="str">
        <f>"00393703"</f>
        <v>00393703</v>
      </c>
      <c r="G3006" t="s">
        <v>375</v>
      </c>
      <c r="H3006" t="s">
        <v>20</v>
      </c>
      <c r="I3006">
        <v>1516</v>
      </c>
      <c r="J3006" t="s">
        <v>21</v>
      </c>
      <c r="K3006">
        <v>0</v>
      </c>
      <c r="L3006" t="s">
        <v>59</v>
      </c>
      <c r="M3006">
        <v>1343</v>
      </c>
    </row>
    <row r="3007" spans="1:13">
      <c r="A3007">
        <v>3001</v>
      </c>
      <c r="B3007">
        <v>91873</v>
      </c>
      <c r="C3007" t="s">
        <v>6574</v>
      </c>
      <c r="D3007" t="s">
        <v>105</v>
      </c>
      <c r="E3007" t="s">
        <v>6575</v>
      </c>
      <c r="F3007" t="str">
        <f>"00386893"</f>
        <v>00386893</v>
      </c>
      <c r="G3007" t="s">
        <v>428</v>
      </c>
      <c r="H3007" t="s">
        <v>20</v>
      </c>
      <c r="I3007">
        <v>1556</v>
      </c>
      <c r="J3007" t="s">
        <v>21</v>
      </c>
      <c r="K3007">
        <v>6</v>
      </c>
      <c r="M3007">
        <v>1328</v>
      </c>
    </row>
    <row r="3008" spans="1:13">
      <c r="A3008">
        <v>3002</v>
      </c>
      <c r="B3008">
        <v>77301</v>
      </c>
      <c r="C3008" t="s">
        <v>6576</v>
      </c>
      <c r="D3008" t="s">
        <v>213</v>
      </c>
      <c r="E3008" t="s">
        <v>6577</v>
      </c>
      <c r="F3008" t="str">
        <f>"00364715"</f>
        <v>00364715</v>
      </c>
      <c r="G3008" t="s">
        <v>2305</v>
      </c>
      <c r="H3008" t="s">
        <v>2306</v>
      </c>
      <c r="I3008">
        <v>1369</v>
      </c>
      <c r="J3008" t="s">
        <v>21</v>
      </c>
      <c r="K3008">
        <v>0</v>
      </c>
      <c r="M3008">
        <v>1472</v>
      </c>
    </row>
    <row r="3009" spans="1:13">
      <c r="A3009">
        <v>3003</v>
      </c>
      <c r="B3009">
        <v>73863</v>
      </c>
      <c r="C3009" t="s">
        <v>6578</v>
      </c>
      <c r="D3009" t="s">
        <v>94</v>
      </c>
      <c r="E3009" t="s">
        <v>6579</v>
      </c>
      <c r="F3009" t="str">
        <f>"00377538"</f>
        <v>00377538</v>
      </c>
      <c r="G3009" t="s">
        <v>2081</v>
      </c>
      <c r="H3009" t="s">
        <v>20</v>
      </c>
      <c r="I3009">
        <v>1417</v>
      </c>
      <c r="J3009" t="s">
        <v>21</v>
      </c>
      <c r="K3009">
        <v>0</v>
      </c>
      <c r="M3009">
        <v>1528</v>
      </c>
    </row>
    <row r="3010" spans="1:13">
      <c r="A3010">
        <v>3004</v>
      </c>
      <c r="B3010">
        <v>105394</v>
      </c>
      <c r="C3010" t="s">
        <v>6580</v>
      </c>
      <c r="D3010" t="s">
        <v>180</v>
      </c>
      <c r="E3010" t="s">
        <v>6581</v>
      </c>
      <c r="F3010" t="str">
        <f>"00336395"</f>
        <v>00336395</v>
      </c>
      <c r="G3010" t="s">
        <v>387</v>
      </c>
      <c r="H3010" t="s">
        <v>234</v>
      </c>
      <c r="I3010">
        <v>1340</v>
      </c>
      <c r="J3010" t="s">
        <v>21</v>
      </c>
      <c r="K3010">
        <v>0</v>
      </c>
      <c r="M3010">
        <v>1688</v>
      </c>
    </row>
    <row r="3011" spans="1:13">
      <c r="A3011">
        <v>3005</v>
      </c>
      <c r="B3011">
        <v>97908</v>
      </c>
      <c r="C3011" t="s">
        <v>6582</v>
      </c>
      <c r="D3011" t="s">
        <v>198</v>
      </c>
      <c r="E3011" t="s">
        <v>6583</v>
      </c>
      <c r="F3011" t="str">
        <f>"00258143"</f>
        <v>00258143</v>
      </c>
      <c r="G3011" t="s">
        <v>107</v>
      </c>
      <c r="H3011" t="s">
        <v>20</v>
      </c>
      <c r="I3011">
        <v>1472</v>
      </c>
      <c r="J3011" t="s">
        <v>21</v>
      </c>
      <c r="K3011">
        <v>0</v>
      </c>
      <c r="L3011" t="s">
        <v>35</v>
      </c>
      <c r="M3011">
        <v>908</v>
      </c>
    </row>
    <row r="3012" spans="1:13">
      <c r="A3012">
        <v>3006</v>
      </c>
      <c r="B3012">
        <v>93152</v>
      </c>
      <c r="C3012" t="s">
        <v>6584</v>
      </c>
      <c r="D3012" t="s">
        <v>90</v>
      </c>
      <c r="E3012" t="s">
        <v>6585</v>
      </c>
      <c r="F3012" t="str">
        <f>"00381401"</f>
        <v>00381401</v>
      </c>
      <c r="G3012" t="s">
        <v>245</v>
      </c>
      <c r="H3012" t="s">
        <v>20</v>
      </c>
      <c r="I3012">
        <v>1406</v>
      </c>
      <c r="J3012" t="s">
        <v>21</v>
      </c>
      <c r="K3012">
        <v>0</v>
      </c>
      <c r="L3012" t="s">
        <v>59</v>
      </c>
      <c r="M3012">
        <v>938</v>
      </c>
    </row>
    <row r="3013" spans="1:13">
      <c r="A3013">
        <v>3007</v>
      </c>
      <c r="B3013">
        <v>66747</v>
      </c>
      <c r="C3013" t="s">
        <v>6586</v>
      </c>
      <c r="D3013" t="s">
        <v>105</v>
      </c>
      <c r="E3013" t="s">
        <v>6587</v>
      </c>
      <c r="F3013" t="str">
        <f>"00366007"</f>
        <v>00366007</v>
      </c>
      <c r="G3013" t="s">
        <v>215</v>
      </c>
      <c r="H3013" t="s">
        <v>216</v>
      </c>
      <c r="I3013">
        <v>1708</v>
      </c>
      <c r="J3013" t="s">
        <v>21</v>
      </c>
      <c r="K3013">
        <v>6</v>
      </c>
      <c r="L3013" t="s">
        <v>35</v>
      </c>
      <c r="M3013">
        <v>808</v>
      </c>
    </row>
    <row r="3014" spans="1:13">
      <c r="A3014">
        <v>3008</v>
      </c>
      <c r="B3014">
        <v>108452</v>
      </c>
      <c r="C3014" t="s">
        <v>6588</v>
      </c>
      <c r="D3014" t="s">
        <v>180</v>
      </c>
      <c r="E3014" t="s">
        <v>6589</v>
      </c>
      <c r="F3014" t="str">
        <f>"00418345"</f>
        <v>00418345</v>
      </c>
      <c r="G3014" t="s">
        <v>365</v>
      </c>
      <c r="H3014" t="s">
        <v>366</v>
      </c>
      <c r="I3014">
        <v>1692</v>
      </c>
      <c r="J3014" t="s">
        <v>21</v>
      </c>
      <c r="K3014">
        <v>0</v>
      </c>
      <c r="L3014" t="s">
        <v>35</v>
      </c>
      <c r="M3014">
        <v>908</v>
      </c>
    </row>
    <row r="3015" spans="1:13">
      <c r="A3015">
        <v>3009</v>
      </c>
      <c r="B3015">
        <v>62432</v>
      </c>
      <c r="C3015" t="s">
        <v>6590</v>
      </c>
      <c r="D3015" t="s">
        <v>243</v>
      </c>
      <c r="E3015" t="s">
        <v>6591</v>
      </c>
      <c r="F3015" t="str">
        <f>"00349598"</f>
        <v>00349598</v>
      </c>
      <c r="G3015" t="s">
        <v>610</v>
      </c>
      <c r="H3015" t="s">
        <v>20</v>
      </c>
      <c r="I3015">
        <v>1429</v>
      </c>
      <c r="J3015" t="s">
        <v>21</v>
      </c>
      <c r="K3015">
        <v>0</v>
      </c>
      <c r="L3015" t="s">
        <v>35</v>
      </c>
      <c r="M3015">
        <v>908</v>
      </c>
    </row>
    <row r="3016" spans="1:13">
      <c r="A3016">
        <v>3010</v>
      </c>
      <c r="B3016">
        <v>67863</v>
      </c>
      <c r="C3016" t="s">
        <v>6592</v>
      </c>
      <c r="D3016" t="s">
        <v>102</v>
      </c>
      <c r="E3016" t="s">
        <v>6593</v>
      </c>
      <c r="F3016" t="str">
        <f>"00255204"</f>
        <v>00255204</v>
      </c>
      <c r="G3016" t="s">
        <v>47</v>
      </c>
      <c r="H3016" t="s">
        <v>48</v>
      </c>
      <c r="I3016">
        <v>1623</v>
      </c>
      <c r="J3016" t="s">
        <v>21</v>
      </c>
      <c r="K3016">
        <v>0</v>
      </c>
      <c r="L3016" t="s">
        <v>59</v>
      </c>
      <c r="M3016">
        <v>1188</v>
      </c>
    </row>
    <row r="3017" spans="1:13">
      <c r="A3017">
        <v>3011</v>
      </c>
      <c r="B3017">
        <v>106871</v>
      </c>
      <c r="C3017" t="s">
        <v>6594</v>
      </c>
      <c r="D3017" t="s">
        <v>1042</v>
      </c>
      <c r="E3017" t="s">
        <v>6595</v>
      </c>
      <c r="F3017" t="str">
        <f>"00406970"</f>
        <v>00406970</v>
      </c>
      <c r="G3017" t="s">
        <v>593</v>
      </c>
      <c r="H3017" t="s">
        <v>20</v>
      </c>
      <c r="I3017">
        <v>1444</v>
      </c>
      <c r="J3017" t="s">
        <v>21</v>
      </c>
      <c r="K3017">
        <v>0</v>
      </c>
      <c r="M3017">
        <v>1628</v>
      </c>
    </row>
    <row r="3018" spans="1:13">
      <c r="A3018">
        <v>3012</v>
      </c>
      <c r="B3018">
        <v>63463</v>
      </c>
      <c r="C3018" t="s">
        <v>6596</v>
      </c>
      <c r="D3018" t="s">
        <v>105</v>
      </c>
      <c r="E3018" t="s">
        <v>6597</v>
      </c>
      <c r="F3018" t="str">
        <f>"00349572"</f>
        <v>00349572</v>
      </c>
      <c r="G3018" t="s">
        <v>87</v>
      </c>
      <c r="H3018" t="s">
        <v>20</v>
      </c>
      <c r="I3018">
        <v>1436</v>
      </c>
      <c r="J3018" t="s">
        <v>21</v>
      </c>
      <c r="K3018">
        <v>0</v>
      </c>
      <c r="L3018" t="s">
        <v>35</v>
      </c>
      <c r="M3018">
        <v>1008</v>
      </c>
    </row>
    <row r="3019" spans="1:13">
      <c r="A3019">
        <v>3013</v>
      </c>
      <c r="B3019">
        <v>48706</v>
      </c>
      <c r="C3019" t="s">
        <v>6598</v>
      </c>
      <c r="D3019" t="s">
        <v>121</v>
      </c>
      <c r="E3019" t="s">
        <v>6599</v>
      </c>
      <c r="F3019" t="str">
        <f>"201511014486"</f>
        <v>201511014486</v>
      </c>
      <c r="G3019" t="s">
        <v>949</v>
      </c>
      <c r="H3019" t="s">
        <v>20</v>
      </c>
      <c r="I3019">
        <v>1450</v>
      </c>
      <c r="J3019" t="s">
        <v>21</v>
      </c>
      <c r="K3019">
        <v>6</v>
      </c>
      <c r="M3019">
        <v>1578</v>
      </c>
    </row>
    <row r="3020" spans="1:13">
      <c r="A3020">
        <v>3014</v>
      </c>
      <c r="B3020">
        <v>98719</v>
      </c>
      <c r="C3020" t="s">
        <v>6600</v>
      </c>
      <c r="D3020" t="s">
        <v>130</v>
      </c>
      <c r="E3020" t="s">
        <v>6601</v>
      </c>
      <c r="F3020" t="str">
        <f>"00403449"</f>
        <v>00403449</v>
      </c>
      <c r="G3020" t="s">
        <v>150</v>
      </c>
      <c r="H3020" t="s">
        <v>151</v>
      </c>
      <c r="I3020">
        <v>1699</v>
      </c>
      <c r="J3020" t="s">
        <v>21</v>
      </c>
      <c r="K3020">
        <v>0</v>
      </c>
      <c r="L3020" t="s">
        <v>88</v>
      </c>
      <c r="M3020">
        <v>675</v>
      </c>
    </row>
    <row r="3021" spans="1:13">
      <c r="A3021">
        <v>3015</v>
      </c>
      <c r="B3021">
        <v>84107</v>
      </c>
      <c r="C3021" t="s">
        <v>6602</v>
      </c>
      <c r="D3021" t="s">
        <v>80</v>
      </c>
      <c r="E3021" t="s">
        <v>6603</v>
      </c>
      <c r="F3021" t="str">
        <f>"00200818"</f>
        <v>00200818</v>
      </c>
      <c r="G3021" t="s">
        <v>24</v>
      </c>
      <c r="H3021" t="s">
        <v>20</v>
      </c>
      <c r="I3021">
        <v>1577</v>
      </c>
      <c r="J3021" t="s">
        <v>21</v>
      </c>
      <c r="K3021">
        <v>0</v>
      </c>
      <c r="L3021" t="s">
        <v>35</v>
      </c>
      <c r="M3021">
        <v>870</v>
      </c>
    </row>
    <row r="3022" spans="1:13">
      <c r="A3022">
        <v>3016</v>
      </c>
      <c r="B3022">
        <v>72457</v>
      </c>
      <c r="C3022" t="s">
        <v>6604</v>
      </c>
      <c r="D3022" t="s">
        <v>180</v>
      </c>
      <c r="E3022" t="s">
        <v>6605</v>
      </c>
      <c r="F3022" t="str">
        <f>"00256287"</f>
        <v>00256287</v>
      </c>
      <c r="G3022" t="s">
        <v>42</v>
      </c>
      <c r="H3022" t="s">
        <v>43</v>
      </c>
      <c r="I3022">
        <v>1712</v>
      </c>
      <c r="J3022" t="s">
        <v>21</v>
      </c>
      <c r="K3022">
        <v>0</v>
      </c>
      <c r="M3022">
        <v>1742</v>
      </c>
    </row>
    <row r="3023" spans="1:13">
      <c r="A3023">
        <v>3017</v>
      </c>
      <c r="B3023">
        <v>82190</v>
      </c>
      <c r="C3023" t="s">
        <v>6606</v>
      </c>
      <c r="D3023" t="s">
        <v>198</v>
      </c>
      <c r="E3023" t="s">
        <v>6607</v>
      </c>
      <c r="F3023" t="str">
        <f>"00299237"</f>
        <v>00299237</v>
      </c>
      <c r="G3023" t="s">
        <v>307</v>
      </c>
      <c r="H3023" t="s">
        <v>326</v>
      </c>
      <c r="I3023">
        <v>1594</v>
      </c>
      <c r="J3023" t="s">
        <v>21</v>
      </c>
      <c r="K3023">
        <v>0</v>
      </c>
      <c r="L3023" t="s">
        <v>35</v>
      </c>
      <c r="M3023">
        <v>885</v>
      </c>
    </row>
    <row r="3024" spans="1:13">
      <c r="A3024">
        <v>3018</v>
      </c>
      <c r="B3024">
        <v>52053</v>
      </c>
      <c r="C3024" t="s">
        <v>6608</v>
      </c>
      <c r="D3024" t="s">
        <v>6609</v>
      </c>
      <c r="E3024" t="s">
        <v>6610</v>
      </c>
      <c r="F3024" t="str">
        <f>"00358991"</f>
        <v>00358991</v>
      </c>
      <c r="G3024" t="s">
        <v>211</v>
      </c>
      <c r="H3024" t="s">
        <v>20</v>
      </c>
      <c r="I3024">
        <v>1539</v>
      </c>
      <c r="J3024" t="s">
        <v>21</v>
      </c>
      <c r="K3024">
        <v>0</v>
      </c>
      <c r="L3024" t="s">
        <v>83</v>
      </c>
      <c r="M3024">
        <v>1348</v>
      </c>
    </row>
    <row r="3025" spans="1:13">
      <c r="A3025">
        <v>3019</v>
      </c>
      <c r="B3025">
        <v>110535</v>
      </c>
      <c r="C3025" t="s">
        <v>6611</v>
      </c>
      <c r="D3025" t="s">
        <v>90</v>
      </c>
      <c r="E3025" t="s">
        <v>6612</v>
      </c>
      <c r="F3025" t="str">
        <f>"00421272"</f>
        <v>00421272</v>
      </c>
      <c r="G3025" t="s">
        <v>125</v>
      </c>
      <c r="H3025" t="s">
        <v>20</v>
      </c>
      <c r="I3025">
        <v>1507</v>
      </c>
      <c r="J3025" t="s">
        <v>21</v>
      </c>
      <c r="K3025">
        <v>0</v>
      </c>
      <c r="L3025" t="s">
        <v>59</v>
      </c>
      <c r="M3025">
        <v>988</v>
      </c>
    </row>
    <row r="3026" spans="1:13">
      <c r="A3026">
        <v>3020</v>
      </c>
      <c r="B3026">
        <v>51442</v>
      </c>
      <c r="C3026" t="s">
        <v>6613</v>
      </c>
      <c r="D3026" t="s">
        <v>80</v>
      </c>
      <c r="E3026" t="s">
        <v>6614</v>
      </c>
      <c r="F3026" t="str">
        <f>"00302166"</f>
        <v>00302166</v>
      </c>
      <c r="G3026" t="s">
        <v>82</v>
      </c>
      <c r="H3026" t="s">
        <v>20</v>
      </c>
      <c r="I3026">
        <v>1475</v>
      </c>
      <c r="J3026" t="s">
        <v>21</v>
      </c>
      <c r="K3026">
        <v>0</v>
      </c>
      <c r="M3026">
        <v>1428</v>
      </c>
    </row>
    <row r="3027" spans="1:13">
      <c r="A3027">
        <v>3021</v>
      </c>
      <c r="B3027">
        <v>74959</v>
      </c>
      <c r="C3027" t="s">
        <v>6615</v>
      </c>
      <c r="D3027" t="s">
        <v>373</v>
      </c>
      <c r="E3027" t="s">
        <v>6616</v>
      </c>
      <c r="F3027" t="str">
        <f>"00402488"</f>
        <v>00402488</v>
      </c>
      <c r="G3027" t="s">
        <v>24</v>
      </c>
      <c r="H3027" t="s">
        <v>20</v>
      </c>
      <c r="I3027">
        <v>1577</v>
      </c>
      <c r="J3027" t="s">
        <v>21</v>
      </c>
      <c r="K3027">
        <v>0</v>
      </c>
      <c r="M3027">
        <v>1528</v>
      </c>
    </row>
    <row r="3028" spans="1:13">
      <c r="A3028">
        <v>3022</v>
      </c>
      <c r="B3028">
        <v>108373</v>
      </c>
      <c r="C3028" t="s">
        <v>6617</v>
      </c>
      <c r="D3028" t="s">
        <v>180</v>
      </c>
      <c r="E3028" t="s">
        <v>6618</v>
      </c>
      <c r="F3028" t="str">
        <f>"00143637"</f>
        <v>00143637</v>
      </c>
      <c r="G3028" t="s">
        <v>107</v>
      </c>
      <c r="H3028" t="s">
        <v>20</v>
      </c>
      <c r="I3028">
        <v>1472</v>
      </c>
      <c r="J3028" t="s">
        <v>21</v>
      </c>
      <c r="K3028">
        <v>0</v>
      </c>
      <c r="M3028">
        <v>1528</v>
      </c>
    </row>
    <row r="3029" spans="1:13">
      <c r="A3029">
        <v>3023</v>
      </c>
      <c r="B3029">
        <v>47798</v>
      </c>
      <c r="C3029" t="s">
        <v>6619</v>
      </c>
      <c r="D3029" t="s">
        <v>1001</v>
      </c>
      <c r="E3029" t="s">
        <v>6620</v>
      </c>
      <c r="F3029" t="str">
        <f>"00364492"</f>
        <v>00364492</v>
      </c>
      <c r="G3029" t="s">
        <v>147</v>
      </c>
      <c r="H3029" t="s">
        <v>20</v>
      </c>
      <c r="I3029">
        <v>1529</v>
      </c>
      <c r="J3029" t="s">
        <v>21</v>
      </c>
      <c r="K3029">
        <v>0</v>
      </c>
      <c r="L3029" t="s">
        <v>35</v>
      </c>
      <c r="M3029">
        <v>1006</v>
      </c>
    </row>
    <row r="3030" spans="1:13">
      <c r="A3030">
        <v>3024</v>
      </c>
      <c r="B3030">
        <v>71630</v>
      </c>
      <c r="C3030" t="s">
        <v>6621</v>
      </c>
      <c r="D3030" t="s">
        <v>180</v>
      </c>
      <c r="E3030" t="s">
        <v>6622</v>
      </c>
      <c r="F3030" t="str">
        <f>"00242087"</f>
        <v>00242087</v>
      </c>
      <c r="G3030" t="s">
        <v>1160</v>
      </c>
      <c r="H3030" t="s">
        <v>20</v>
      </c>
      <c r="I3030">
        <v>1424</v>
      </c>
      <c r="J3030" t="s">
        <v>21</v>
      </c>
      <c r="K3030">
        <v>0</v>
      </c>
      <c r="L3030" t="s">
        <v>35</v>
      </c>
      <c r="M3030">
        <v>1108</v>
      </c>
    </row>
    <row r="3031" spans="1:13">
      <c r="A3031">
        <v>3025</v>
      </c>
      <c r="B3031">
        <v>74181</v>
      </c>
      <c r="C3031" t="s">
        <v>6623</v>
      </c>
      <c r="D3031" t="s">
        <v>180</v>
      </c>
      <c r="E3031" t="s">
        <v>6624</v>
      </c>
      <c r="F3031" t="str">
        <f>"00390570"</f>
        <v>00390570</v>
      </c>
      <c r="G3031" t="s">
        <v>70</v>
      </c>
      <c r="H3031" t="s">
        <v>71</v>
      </c>
      <c r="I3031">
        <v>1702</v>
      </c>
      <c r="J3031" t="s">
        <v>21</v>
      </c>
      <c r="K3031">
        <v>0</v>
      </c>
      <c r="M3031">
        <v>1514</v>
      </c>
    </row>
    <row r="3032" spans="1:13">
      <c r="A3032">
        <v>3026</v>
      </c>
      <c r="B3032">
        <v>49955</v>
      </c>
      <c r="C3032" t="s">
        <v>6625</v>
      </c>
      <c r="D3032" t="s">
        <v>80</v>
      </c>
      <c r="E3032" t="s">
        <v>6626</v>
      </c>
      <c r="F3032" t="str">
        <f>"00373431"</f>
        <v>00373431</v>
      </c>
      <c r="G3032" t="s">
        <v>883</v>
      </c>
      <c r="H3032" t="s">
        <v>270</v>
      </c>
      <c r="I3032">
        <v>1585</v>
      </c>
      <c r="J3032" t="s">
        <v>21</v>
      </c>
      <c r="K3032">
        <v>0</v>
      </c>
      <c r="L3032" t="s">
        <v>35</v>
      </c>
      <c r="M3032">
        <v>1070</v>
      </c>
    </row>
    <row r="3033" spans="1:13">
      <c r="A3033">
        <v>3027</v>
      </c>
      <c r="B3033">
        <v>71254</v>
      </c>
      <c r="C3033" t="s">
        <v>6627</v>
      </c>
      <c r="D3033" t="s">
        <v>243</v>
      </c>
      <c r="E3033" t="s">
        <v>6628</v>
      </c>
      <c r="F3033" t="str">
        <f>"00409482"</f>
        <v>00409482</v>
      </c>
      <c r="G3033" t="s">
        <v>760</v>
      </c>
      <c r="H3033" t="s">
        <v>20</v>
      </c>
      <c r="I3033">
        <v>1432</v>
      </c>
      <c r="J3033" t="s">
        <v>21</v>
      </c>
      <c r="K3033">
        <v>0</v>
      </c>
      <c r="M3033">
        <v>1488</v>
      </c>
    </row>
    <row r="3034" spans="1:13">
      <c r="A3034">
        <v>3028</v>
      </c>
      <c r="B3034">
        <v>79509</v>
      </c>
      <c r="C3034" t="s">
        <v>6629</v>
      </c>
      <c r="D3034" t="s">
        <v>180</v>
      </c>
      <c r="E3034" t="s">
        <v>6630</v>
      </c>
      <c r="F3034" t="str">
        <f>"00285865"</f>
        <v>00285865</v>
      </c>
      <c r="G3034" t="s">
        <v>47</v>
      </c>
      <c r="H3034" t="s">
        <v>48</v>
      </c>
      <c r="I3034">
        <v>1623</v>
      </c>
      <c r="J3034" t="s">
        <v>21</v>
      </c>
      <c r="K3034">
        <v>0</v>
      </c>
      <c r="L3034" t="s">
        <v>35</v>
      </c>
      <c r="M3034">
        <v>866</v>
      </c>
    </row>
    <row r="3035" spans="1:13">
      <c r="A3035">
        <v>3029</v>
      </c>
      <c r="B3035">
        <v>99085</v>
      </c>
      <c r="C3035" t="s">
        <v>6631</v>
      </c>
      <c r="D3035" t="s">
        <v>243</v>
      </c>
      <c r="E3035" t="s">
        <v>6632</v>
      </c>
      <c r="F3035" t="str">
        <f>"00401059"</f>
        <v>00401059</v>
      </c>
      <c r="G3035" t="s">
        <v>2031</v>
      </c>
      <c r="H3035" t="s">
        <v>137</v>
      </c>
      <c r="I3035">
        <v>1610</v>
      </c>
      <c r="J3035" t="s">
        <v>21</v>
      </c>
      <c r="K3035">
        <v>0</v>
      </c>
      <c r="L3035" t="s">
        <v>35</v>
      </c>
      <c r="M3035">
        <v>972</v>
      </c>
    </row>
    <row r="3036" spans="1:13">
      <c r="A3036">
        <v>3030</v>
      </c>
      <c r="B3036">
        <v>66752</v>
      </c>
      <c r="C3036" t="s">
        <v>6633</v>
      </c>
      <c r="D3036" t="s">
        <v>121</v>
      </c>
      <c r="E3036" t="s">
        <v>6634</v>
      </c>
      <c r="F3036" t="str">
        <f>"00143594"</f>
        <v>00143594</v>
      </c>
      <c r="G3036" t="s">
        <v>352</v>
      </c>
      <c r="H3036" t="s">
        <v>20</v>
      </c>
      <c r="I3036">
        <v>1471</v>
      </c>
      <c r="J3036" t="s">
        <v>21</v>
      </c>
      <c r="K3036">
        <v>0</v>
      </c>
      <c r="L3036" t="s">
        <v>35</v>
      </c>
      <c r="M3036">
        <v>986</v>
      </c>
    </row>
    <row r="3037" spans="1:13">
      <c r="A3037">
        <v>3031</v>
      </c>
      <c r="B3037">
        <v>49442</v>
      </c>
      <c r="C3037" t="s">
        <v>6635</v>
      </c>
      <c r="D3037" t="s">
        <v>218</v>
      </c>
      <c r="E3037" t="s">
        <v>6636</v>
      </c>
      <c r="F3037" t="str">
        <f>"201510003166"</f>
        <v>201510003166</v>
      </c>
      <c r="G3037" t="s">
        <v>125</v>
      </c>
      <c r="H3037" t="s">
        <v>20</v>
      </c>
      <c r="I3037">
        <v>1507</v>
      </c>
      <c r="J3037" t="s">
        <v>21</v>
      </c>
      <c r="K3037">
        <v>0</v>
      </c>
      <c r="L3037" t="s">
        <v>88</v>
      </c>
      <c r="M3037">
        <v>687</v>
      </c>
    </row>
    <row r="3038" spans="1:13">
      <c r="A3038">
        <v>3032</v>
      </c>
      <c r="B3038">
        <v>69921</v>
      </c>
      <c r="C3038" t="s">
        <v>6637</v>
      </c>
      <c r="D3038" t="s">
        <v>105</v>
      </c>
      <c r="E3038" t="s">
        <v>6638</v>
      </c>
      <c r="F3038" t="str">
        <f>"00019306"</f>
        <v>00019306</v>
      </c>
      <c r="G3038" t="s">
        <v>47</v>
      </c>
      <c r="H3038" t="s">
        <v>48</v>
      </c>
      <c r="I3038">
        <v>1623</v>
      </c>
      <c r="J3038" t="s">
        <v>21</v>
      </c>
      <c r="K3038">
        <v>0</v>
      </c>
      <c r="L3038" t="s">
        <v>88</v>
      </c>
      <c r="M3038">
        <v>574</v>
      </c>
    </row>
    <row r="3039" spans="1:13">
      <c r="A3039">
        <v>3033</v>
      </c>
      <c r="B3039">
        <v>105095</v>
      </c>
      <c r="C3039" t="s">
        <v>6639</v>
      </c>
      <c r="D3039" t="s">
        <v>90</v>
      </c>
      <c r="E3039" t="s">
        <v>6640</v>
      </c>
      <c r="F3039" t="str">
        <f>"00373829"</f>
        <v>00373829</v>
      </c>
      <c r="G3039" t="s">
        <v>610</v>
      </c>
      <c r="H3039" t="s">
        <v>20</v>
      </c>
      <c r="I3039">
        <v>1429</v>
      </c>
      <c r="J3039" t="s">
        <v>21</v>
      </c>
      <c r="K3039">
        <v>0</v>
      </c>
      <c r="L3039" t="s">
        <v>35</v>
      </c>
      <c r="M3039">
        <v>908</v>
      </c>
    </row>
    <row r="3040" spans="1:13">
      <c r="A3040">
        <v>3034</v>
      </c>
      <c r="B3040">
        <v>106932</v>
      </c>
      <c r="C3040" t="s">
        <v>6641</v>
      </c>
      <c r="D3040" t="s">
        <v>94</v>
      </c>
      <c r="E3040" t="s">
        <v>6642</v>
      </c>
      <c r="F3040" t="str">
        <f>"00401233"</f>
        <v>00401233</v>
      </c>
      <c r="G3040" t="s">
        <v>610</v>
      </c>
      <c r="H3040" t="s">
        <v>20</v>
      </c>
      <c r="I3040">
        <v>1429</v>
      </c>
      <c r="J3040" t="s">
        <v>21</v>
      </c>
      <c r="K3040">
        <v>0</v>
      </c>
      <c r="M3040">
        <v>1528</v>
      </c>
    </row>
    <row r="3041" spans="1:13">
      <c r="A3041">
        <v>3035</v>
      </c>
      <c r="B3041">
        <v>89966</v>
      </c>
      <c r="C3041" t="s">
        <v>6643</v>
      </c>
      <c r="D3041" t="s">
        <v>94</v>
      </c>
      <c r="E3041" t="s">
        <v>6644</v>
      </c>
      <c r="F3041" t="str">
        <f>"00395769"</f>
        <v>00395769</v>
      </c>
      <c r="G3041" t="s">
        <v>87</v>
      </c>
      <c r="H3041" t="s">
        <v>20</v>
      </c>
      <c r="I3041">
        <v>1436</v>
      </c>
      <c r="J3041" t="s">
        <v>21</v>
      </c>
      <c r="K3041">
        <v>0</v>
      </c>
      <c r="M3041">
        <v>1328</v>
      </c>
    </row>
    <row r="3042" spans="1:13">
      <c r="A3042">
        <v>3036</v>
      </c>
      <c r="B3042">
        <v>52641</v>
      </c>
      <c r="C3042" t="s">
        <v>6645</v>
      </c>
      <c r="D3042" t="s">
        <v>90</v>
      </c>
      <c r="E3042" t="s">
        <v>6646</v>
      </c>
      <c r="F3042" t="str">
        <f>"00365279"</f>
        <v>00365279</v>
      </c>
      <c r="G3042" t="s">
        <v>1747</v>
      </c>
      <c r="H3042" t="s">
        <v>20</v>
      </c>
      <c r="I3042">
        <v>1489</v>
      </c>
      <c r="J3042" t="s">
        <v>21</v>
      </c>
      <c r="K3042">
        <v>6</v>
      </c>
      <c r="L3042" t="s">
        <v>35</v>
      </c>
      <c r="M3042">
        <v>808</v>
      </c>
    </row>
    <row r="3043" spans="1:13">
      <c r="A3043">
        <v>3037</v>
      </c>
      <c r="B3043">
        <v>71941</v>
      </c>
      <c r="C3043" t="s">
        <v>6647</v>
      </c>
      <c r="D3043" t="s">
        <v>76</v>
      </c>
      <c r="E3043" t="s">
        <v>6648</v>
      </c>
      <c r="F3043" t="str">
        <f>"00045330"</f>
        <v>00045330</v>
      </c>
      <c r="G3043" t="s">
        <v>2072</v>
      </c>
      <c r="H3043" t="s">
        <v>20</v>
      </c>
      <c r="I3043">
        <v>1459</v>
      </c>
      <c r="J3043" t="s">
        <v>21</v>
      </c>
      <c r="K3043">
        <v>0</v>
      </c>
      <c r="M3043">
        <v>1888</v>
      </c>
    </row>
    <row r="3044" spans="1:13">
      <c r="A3044">
        <v>3038</v>
      </c>
      <c r="B3044">
        <v>79518</v>
      </c>
      <c r="C3044" t="s">
        <v>6649</v>
      </c>
      <c r="D3044" t="s">
        <v>6650</v>
      </c>
      <c r="E3044" t="s">
        <v>6651</v>
      </c>
      <c r="F3044" t="str">
        <f>"00384915"</f>
        <v>00384915</v>
      </c>
      <c r="G3044" t="s">
        <v>862</v>
      </c>
      <c r="H3044" t="s">
        <v>48</v>
      </c>
      <c r="I3044">
        <v>1619</v>
      </c>
      <c r="J3044" t="s">
        <v>21</v>
      </c>
      <c r="K3044">
        <v>0</v>
      </c>
      <c r="M3044">
        <v>2313</v>
      </c>
    </row>
    <row r="3045" spans="1:13">
      <c r="A3045">
        <v>3039</v>
      </c>
      <c r="B3045">
        <v>59212</v>
      </c>
      <c r="C3045" t="s">
        <v>6652</v>
      </c>
      <c r="D3045" t="s">
        <v>76</v>
      </c>
      <c r="E3045" t="s">
        <v>6653</v>
      </c>
      <c r="F3045" t="str">
        <f>"00284125"</f>
        <v>00284125</v>
      </c>
      <c r="G3045" t="s">
        <v>107</v>
      </c>
      <c r="H3045" t="s">
        <v>20</v>
      </c>
      <c r="I3045">
        <v>1472</v>
      </c>
      <c r="J3045" t="s">
        <v>21</v>
      </c>
      <c r="K3045">
        <v>0</v>
      </c>
      <c r="M3045">
        <v>1428</v>
      </c>
    </row>
    <row r="3046" spans="1:13">
      <c r="A3046">
        <v>3040</v>
      </c>
      <c r="B3046">
        <v>74874</v>
      </c>
      <c r="C3046" t="s">
        <v>6654</v>
      </c>
      <c r="D3046" t="s">
        <v>76</v>
      </c>
      <c r="E3046" t="s">
        <v>6655</v>
      </c>
      <c r="F3046" t="str">
        <f>"00375984"</f>
        <v>00375984</v>
      </c>
      <c r="G3046" t="s">
        <v>375</v>
      </c>
      <c r="H3046" t="s">
        <v>20</v>
      </c>
      <c r="I3046">
        <v>1516</v>
      </c>
      <c r="J3046" t="s">
        <v>21</v>
      </c>
      <c r="K3046">
        <v>0</v>
      </c>
      <c r="L3046" t="s">
        <v>83</v>
      </c>
      <c r="M3046">
        <v>1248</v>
      </c>
    </row>
    <row r="3047" spans="1:13">
      <c r="A3047">
        <v>3041</v>
      </c>
      <c r="B3047">
        <v>94522</v>
      </c>
      <c r="C3047" t="s">
        <v>6656</v>
      </c>
      <c r="D3047" t="s">
        <v>121</v>
      </c>
      <c r="E3047" t="s">
        <v>6657</v>
      </c>
      <c r="F3047" t="str">
        <f>"00191753"</f>
        <v>00191753</v>
      </c>
      <c r="G3047" t="s">
        <v>150</v>
      </c>
      <c r="H3047" t="s">
        <v>151</v>
      </c>
      <c r="I3047">
        <v>1699</v>
      </c>
      <c r="J3047" t="s">
        <v>21</v>
      </c>
      <c r="K3047">
        <v>0</v>
      </c>
      <c r="L3047" t="s">
        <v>112</v>
      </c>
      <c r="M3047">
        <v>808</v>
      </c>
    </row>
    <row r="3048" spans="1:13">
      <c r="A3048">
        <v>3042</v>
      </c>
      <c r="B3048">
        <v>49528</v>
      </c>
      <c r="C3048" t="s">
        <v>6658</v>
      </c>
      <c r="D3048" t="s">
        <v>180</v>
      </c>
      <c r="E3048" t="s">
        <v>6659</v>
      </c>
      <c r="F3048" t="str">
        <f>"201412001427"</f>
        <v>201412001427</v>
      </c>
      <c r="G3048" t="s">
        <v>150</v>
      </c>
      <c r="H3048" t="s">
        <v>151</v>
      </c>
      <c r="I3048">
        <v>1699</v>
      </c>
      <c r="J3048" t="s">
        <v>21</v>
      </c>
      <c r="K3048">
        <v>0</v>
      </c>
      <c r="L3048" t="s">
        <v>35</v>
      </c>
      <c r="M3048">
        <v>908</v>
      </c>
    </row>
    <row r="3049" spans="1:13">
      <c r="A3049">
        <v>3043</v>
      </c>
      <c r="B3049">
        <v>105362</v>
      </c>
      <c r="C3049" t="s">
        <v>6660</v>
      </c>
      <c r="D3049" t="s">
        <v>700</v>
      </c>
      <c r="E3049" t="s">
        <v>6661</v>
      </c>
      <c r="F3049" t="str">
        <f>"00154484"</f>
        <v>00154484</v>
      </c>
      <c r="G3049" t="s">
        <v>3969</v>
      </c>
      <c r="H3049" t="s">
        <v>20</v>
      </c>
      <c r="I3049">
        <v>1517</v>
      </c>
      <c r="J3049" t="s">
        <v>21</v>
      </c>
      <c r="K3049">
        <v>0</v>
      </c>
      <c r="M3049">
        <v>1388</v>
      </c>
    </row>
    <row r="3050" spans="1:13">
      <c r="A3050">
        <v>3044</v>
      </c>
      <c r="B3050">
        <v>117044</v>
      </c>
      <c r="C3050" t="s">
        <v>6662</v>
      </c>
      <c r="D3050" t="s">
        <v>209</v>
      </c>
      <c r="E3050" t="s">
        <v>6663</v>
      </c>
      <c r="F3050" t="str">
        <f>"00416710"</f>
        <v>00416710</v>
      </c>
      <c r="G3050" t="s">
        <v>3395</v>
      </c>
      <c r="H3050" t="s">
        <v>20</v>
      </c>
      <c r="I3050">
        <v>1537</v>
      </c>
      <c r="J3050" t="s">
        <v>21</v>
      </c>
      <c r="K3050">
        <v>6</v>
      </c>
      <c r="L3050" t="s">
        <v>35</v>
      </c>
      <c r="M3050">
        <v>719</v>
      </c>
    </row>
    <row r="3051" spans="1:13">
      <c r="A3051">
        <v>3045</v>
      </c>
      <c r="B3051">
        <v>103560</v>
      </c>
      <c r="C3051" t="s">
        <v>6664</v>
      </c>
      <c r="D3051" t="s">
        <v>90</v>
      </c>
      <c r="E3051" t="s">
        <v>6665</v>
      </c>
      <c r="F3051" t="str">
        <f>"00372597"</f>
        <v>00372597</v>
      </c>
      <c r="G3051" t="s">
        <v>19</v>
      </c>
      <c r="H3051" t="s">
        <v>20</v>
      </c>
      <c r="I3051">
        <v>1531</v>
      </c>
      <c r="J3051" t="s">
        <v>21</v>
      </c>
      <c r="K3051">
        <v>0</v>
      </c>
      <c r="M3051">
        <v>1368</v>
      </c>
    </row>
    <row r="3052" spans="1:13">
      <c r="A3052">
        <v>3046</v>
      </c>
      <c r="B3052">
        <v>48178</v>
      </c>
      <c r="C3052" t="s">
        <v>6666</v>
      </c>
      <c r="D3052" t="s">
        <v>238</v>
      </c>
      <c r="E3052" t="s">
        <v>6667</v>
      </c>
      <c r="F3052" t="str">
        <f>"00366908"</f>
        <v>00366908</v>
      </c>
      <c r="G3052" t="s">
        <v>47</v>
      </c>
      <c r="H3052" t="s">
        <v>48</v>
      </c>
      <c r="I3052">
        <v>1623</v>
      </c>
      <c r="J3052" t="s">
        <v>21</v>
      </c>
      <c r="K3052">
        <v>0</v>
      </c>
      <c r="L3052" t="s">
        <v>88</v>
      </c>
      <c r="M3052">
        <v>700</v>
      </c>
    </row>
    <row r="3053" spans="1:13">
      <c r="A3053">
        <v>3047</v>
      </c>
      <c r="B3053">
        <v>92330</v>
      </c>
      <c r="C3053" t="s">
        <v>6668</v>
      </c>
      <c r="D3053" t="s">
        <v>121</v>
      </c>
      <c r="E3053" t="s">
        <v>6669</v>
      </c>
      <c r="F3053" t="str">
        <f>"00391208"</f>
        <v>00391208</v>
      </c>
      <c r="G3053" t="s">
        <v>465</v>
      </c>
      <c r="H3053" t="s">
        <v>20</v>
      </c>
      <c r="I3053">
        <v>1534</v>
      </c>
      <c r="J3053" t="s">
        <v>21</v>
      </c>
      <c r="K3053">
        <v>0</v>
      </c>
      <c r="L3053" t="s">
        <v>88</v>
      </c>
      <c r="M3053">
        <v>500</v>
      </c>
    </row>
    <row r="3054" spans="1:13">
      <c r="A3054">
        <v>3048</v>
      </c>
      <c r="B3054">
        <v>102008</v>
      </c>
      <c r="C3054" t="s">
        <v>6670</v>
      </c>
      <c r="D3054" t="s">
        <v>76</v>
      </c>
      <c r="E3054" t="s">
        <v>6671</v>
      </c>
      <c r="F3054" t="str">
        <f>"00087152"</f>
        <v>00087152</v>
      </c>
      <c r="G3054" t="s">
        <v>1084</v>
      </c>
      <c r="H3054" t="s">
        <v>1085</v>
      </c>
      <c r="I3054">
        <v>1588</v>
      </c>
      <c r="J3054" t="s">
        <v>21</v>
      </c>
      <c r="K3054">
        <v>0</v>
      </c>
      <c r="L3054" t="s">
        <v>88</v>
      </c>
      <c r="M3054">
        <v>475</v>
      </c>
    </row>
    <row r="3055" spans="1:13">
      <c r="A3055">
        <v>3049</v>
      </c>
      <c r="B3055">
        <v>62612</v>
      </c>
      <c r="C3055" t="s">
        <v>6672</v>
      </c>
      <c r="D3055" t="s">
        <v>76</v>
      </c>
      <c r="E3055" t="s">
        <v>6673</v>
      </c>
      <c r="F3055" t="str">
        <f>"201604001908"</f>
        <v>201604001908</v>
      </c>
      <c r="G3055" t="s">
        <v>38</v>
      </c>
      <c r="H3055" t="s">
        <v>39</v>
      </c>
      <c r="I3055">
        <v>1634</v>
      </c>
      <c r="J3055" t="s">
        <v>21</v>
      </c>
      <c r="K3055">
        <v>6</v>
      </c>
      <c r="L3055" t="s">
        <v>35</v>
      </c>
      <c r="M3055">
        <v>600</v>
      </c>
    </row>
    <row r="3056" spans="1:13">
      <c r="A3056">
        <v>3050</v>
      </c>
      <c r="B3056">
        <v>108530</v>
      </c>
      <c r="C3056" t="s">
        <v>6674</v>
      </c>
      <c r="D3056" t="s">
        <v>4970</v>
      </c>
      <c r="E3056" t="s">
        <v>6675</v>
      </c>
      <c r="F3056" t="str">
        <f>"00077971"</f>
        <v>00077971</v>
      </c>
      <c r="G3056" t="s">
        <v>1753</v>
      </c>
      <c r="H3056" t="s">
        <v>20</v>
      </c>
      <c r="I3056">
        <v>1544</v>
      </c>
      <c r="J3056" t="s">
        <v>21</v>
      </c>
      <c r="K3056">
        <v>0</v>
      </c>
      <c r="M3056">
        <v>1738</v>
      </c>
    </row>
    <row r="3057" spans="1:13">
      <c r="A3057">
        <v>3051</v>
      </c>
      <c r="B3057">
        <v>100739</v>
      </c>
      <c r="C3057" t="s">
        <v>6676</v>
      </c>
      <c r="D3057" t="s">
        <v>243</v>
      </c>
      <c r="E3057" t="s">
        <v>6677</v>
      </c>
      <c r="F3057" t="str">
        <f>"00396567"</f>
        <v>00396567</v>
      </c>
      <c r="G3057" t="s">
        <v>387</v>
      </c>
      <c r="H3057" t="s">
        <v>234</v>
      </c>
      <c r="I3057">
        <v>1340</v>
      </c>
      <c r="J3057" t="s">
        <v>21</v>
      </c>
      <c r="K3057">
        <v>0</v>
      </c>
      <c r="L3057" t="s">
        <v>35</v>
      </c>
      <c r="M3057">
        <v>1508</v>
      </c>
    </row>
    <row r="3058" spans="1:13">
      <c r="A3058">
        <v>3052</v>
      </c>
      <c r="B3058">
        <v>70162</v>
      </c>
      <c r="C3058" t="s">
        <v>6678</v>
      </c>
      <c r="D3058" t="s">
        <v>243</v>
      </c>
      <c r="E3058" t="s">
        <v>6679</v>
      </c>
      <c r="F3058" t="str">
        <f>"00386521"</f>
        <v>00386521</v>
      </c>
      <c r="G3058" t="s">
        <v>1712</v>
      </c>
      <c r="H3058" t="s">
        <v>241</v>
      </c>
      <c r="I3058">
        <v>1362</v>
      </c>
      <c r="J3058" t="s">
        <v>21</v>
      </c>
      <c r="K3058">
        <v>0</v>
      </c>
      <c r="M3058">
        <v>2436</v>
      </c>
    </row>
    <row r="3059" spans="1:13">
      <c r="A3059">
        <v>3053</v>
      </c>
      <c r="B3059">
        <v>103206</v>
      </c>
      <c r="C3059" t="s">
        <v>6680</v>
      </c>
      <c r="D3059" t="s">
        <v>726</v>
      </c>
      <c r="E3059" t="s">
        <v>6681</v>
      </c>
      <c r="F3059" t="str">
        <f>"00391557"</f>
        <v>00391557</v>
      </c>
      <c r="G3059" t="s">
        <v>92</v>
      </c>
      <c r="H3059" t="s">
        <v>964</v>
      </c>
      <c r="I3059">
        <v>1720</v>
      </c>
      <c r="J3059" t="s">
        <v>21</v>
      </c>
      <c r="K3059">
        <v>0</v>
      </c>
      <c r="L3059" t="s">
        <v>35</v>
      </c>
      <c r="M3059">
        <v>1833</v>
      </c>
    </row>
    <row r="3060" spans="1:13">
      <c r="A3060">
        <v>3054</v>
      </c>
      <c r="B3060">
        <v>114927</v>
      </c>
      <c r="C3060" t="s">
        <v>6682</v>
      </c>
      <c r="D3060" t="s">
        <v>566</v>
      </c>
      <c r="E3060" t="s">
        <v>6683</v>
      </c>
      <c r="F3060" t="str">
        <f>"00146109"</f>
        <v>00146109</v>
      </c>
      <c r="G3060" t="s">
        <v>96</v>
      </c>
      <c r="H3060" t="s">
        <v>20</v>
      </c>
      <c r="I3060">
        <v>1474</v>
      </c>
      <c r="J3060" t="s">
        <v>21</v>
      </c>
      <c r="K3060">
        <v>0</v>
      </c>
      <c r="L3060" t="s">
        <v>35</v>
      </c>
      <c r="M3060">
        <v>1150</v>
      </c>
    </row>
    <row r="3061" spans="1:13">
      <c r="A3061">
        <v>3055</v>
      </c>
      <c r="B3061">
        <v>95943</v>
      </c>
      <c r="C3061" t="s">
        <v>6684</v>
      </c>
      <c r="D3061" t="s">
        <v>2823</v>
      </c>
      <c r="E3061" t="s">
        <v>6685</v>
      </c>
      <c r="F3061" t="str">
        <f>"201604004474"</f>
        <v>201604004474</v>
      </c>
      <c r="G3061" t="s">
        <v>1245</v>
      </c>
      <c r="H3061" t="s">
        <v>20</v>
      </c>
      <c r="I3061">
        <v>1527</v>
      </c>
      <c r="J3061" t="s">
        <v>21</v>
      </c>
      <c r="K3061">
        <v>0</v>
      </c>
      <c r="M3061">
        <v>1908</v>
      </c>
    </row>
    <row r="3062" spans="1:13">
      <c r="A3062">
        <v>3056</v>
      </c>
      <c r="B3062">
        <v>46508</v>
      </c>
      <c r="C3062" t="s">
        <v>6686</v>
      </c>
      <c r="D3062" t="s">
        <v>6687</v>
      </c>
      <c r="E3062" t="s">
        <v>6688</v>
      </c>
      <c r="F3062" t="str">
        <f>"00346144"</f>
        <v>00346144</v>
      </c>
      <c r="G3062" t="s">
        <v>488</v>
      </c>
      <c r="H3062" t="s">
        <v>20</v>
      </c>
      <c r="I3062">
        <v>1482</v>
      </c>
      <c r="J3062" t="s">
        <v>21</v>
      </c>
      <c r="K3062">
        <v>0</v>
      </c>
      <c r="M3062">
        <v>1338</v>
      </c>
    </row>
    <row r="3063" spans="1:13">
      <c r="A3063">
        <v>3057</v>
      </c>
      <c r="B3063">
        <v>112409</v>
      </c>
      <c r="C3063" t="s">
        <v>6689</v>
      </c>
      <c r="D3063" t="s">
        <v>139</v>
      </c>
      <c r="E3063" t="s">
        <v>6690</v>
      </c>
      <c r="F3063" t="str">
        <f>"00407682"</f>
        <v>00407682</v>
      </c>
      <c r="G3063" t="s">
        <v>446</v>
      </c>
      <c r="H3063" t="s">
        <v>137</v>
      </c>
      <c r="I3063">
        <v>1602</v>
      </c>
      <c r="J3063" t="s">
        <v>21</v>
      </c>
      <c r="K3063">
        <v>0</v>
      </c>
      <c r="M3063">
        <v>1377</v>
      </c>
    </row>
    <row r="3064" spans="1:13">
      <c r="A3064">
        <v>3058</v>
      </c>
      <c r="B3064">
        <v>98878</v>
      </c>
      <c r="C3064" t="s">
        <v>6691</v>
      </c>
      <c r="D3064" t="s">
        <v>105</v>
      </c>
      <c r="E3064" t="s">
        <v>6692</v>
      </c>
      <c r="F3064" t="str">
        <f>"201511017761"</f>
        <v>201511017761</v>
      </c>
      <c r="G3064" t="s">
        <v>150</v>
      </c>
      <c r="H3064" t="s">
        <v>151</v>
      </c>
      <c r="I3064">
        <v>1699</v>
      </c>
      <c r="J3064" t="s">
        <v>21</v>
      </c>
      <c r="K3064">
        <v>0</v>
      </c>
      <c r="M3064">
        <v>1318</v>
      </c>
    </row>
    <row r="3065" spans="1:13">
      <c r="A3065">
        <v>3059</v>
      </c>
      <c r="B3065">
        <v>86663</v>
      </c>
      <c r="C3065" t="s">
        <v>6693</v>
      </c>
      <c r="D3065" t="s">
        <v>6694</v>
      </c>
      <c r="E3065" t="s">
        <v>6695</v>
      </c>
      <c r="F3065" t="str">
        <f>"00233471"</f>
        <v>00233471</v>
      </c>
      <c r="G3065" t="s">
        <v>70</v>
      </c>
      <c r="H3065" t="s">
        <v>71</v>
      </c>
      <c r="I3065">
        <v>1702</v>
      </c>
      <c r="J3065" t="s">
        <v>21</v>
      </c>
      <c r="K3065">
        <v>0</v>
      </c>
      <c r="L3065" t="s">
        <v>59</v>
      </c>
      <c r="M3065">
        <v>888</v>
      </c>
    </row>
    <row r="3066" spans="1:13">
      <c r="A3066">
        <v>3060</v>
      </c>
      <c r="B3066">
        <v>56086</v>
      </c>
      <c r="C3066" t="s">
        <v>6696</v>
      </c>
      <c r="D3066" t="s">
        <v>153</v>
      </c>
      <c r="E3066" t="s">
        <v>6697</v>
      </c>
      <c r="F3066" t="str">
        <f>"201511038762"</f>
        <v>201511038762</v>
      </c>
      <c r="G3066" t="s">
        <v>626</v>
      </c>
      <c r="H3066" t="s">
        <v>234</v>
      </c>
      <c r="I3066">
        <v>1327</v>
      </c>
      <c r="J3066" t="s">
        <v>21</v>
      </c>
      <c r="K3066">
        <v>0</v>
      </c>
      <c r="L3066" t="s">
        <v>35</v>
      </c>
      <c r="M3066">
        <v>1250</v>
      </c>
    </row>
    <row r="3067" spans="1:13">
      <c r="A3067">
        <v>3061</v>
      </c>
      <c r="B3067">
        <v>73601</v>
      </c>
      <c r="C3067" t="s">
        <v>6698</v>
      </c>
      <c r="D3067" t="s">
        <v>243</v>
      </c>
      <c r="E3067" t="s">
        <v>6699</v>
      </c>
      <c r="F3067" t="str">
        <f>"00375763"</f>
        <v>00375763</v>
      </c>
      <c r="G3067" t="s">
        <v>47</v>
      </c>
      <c r="H3067" t="s">
        <v>48</v>
      </c>
      <c r="I3067">
        <v>1623</v>
      </c>
      <c r="J3067" t="s">
        <v>21</v>
      </c>
      <c r="K3067">
        <v>0</v>
      </c>
      <c r="L3067" t="s">
        <v>35</v>
      </c>
      <c r="M3067">
        <v>858</v>
      </c>
    </row>
    <row r="3068" spans="1:13">
      <c r="A3068">
        <v>3062</v>
      </c>
      <c r="B3068">
        <v>53217</v>
      </c>
      <c r="C3068" t="s">
        <v>6700</v>
      </c>
      <c r="D3068" t="s">
        <v>624</v>
      </c>
      <c r="E3068" t="s">
        <v>6701</v>
      </c>
      <c r="F3068" t="str">
        <f>"00364005"</f>
        <v>00364005</v>
      </c>
      <c r="G3068" t="s">
        <v>721</v>
      </c>
      <c r="H3068" t="s">
        <v>20</v>
      </c>
      <c r="I3068">
        <v>1575</v>
      </c>
      <c r="J3068" t="s">
        <v>21</v>
      </c>
      <c r="K3068">
        <v>0</v>
      </c>
      <c r="L3068" t="s">
        <v>35</v>
      </c>
      <c r="M3068">
        <v>870</v>
      </c>
    </row>
    <row r="3069" spans="1:13">
      <c r="A3069">
        <v>3063</v>
      </c>
      <c r="B3069">
        <v>51965</v>
      </c>
      <c r="C3069" t="s">
        <v>6702</v>
      </c>
      <c r="D3069" t="s">
        <v>76</v>
      </c>
      <c r="E3069" t="s">
        <v>6703</v>
      </c>
      <c r="F3069" t="str">
        <f>"00323705"</f>
        <v>00323705</v>
      </c>
      <c r="G3069" t="s">
        <v>721</v>
      </c>
      <c r="H3069" t="s">
        <v>20</v>
      </c>
      <c r="I3069">
        <v>1575</v>
      </c>
      <c r="J3069" t="s">
        <v>21</v>
      </c>
      <c r="K3069">
        <v>0</v>
      </c>
      <c r="L3069" t="s">
        <v>25</v>
      </c>
      <c r="M3069">
        <v>1228</v>
      </c>
    </row>
    <row r="3070" spans="1:13">
      <c r="A3070">
        <v>3064</v>
      </c>
      <c r="B3070">
        <v>64119</v>
      </c>
      <c r="C3070" t="s">
        <v>6704</v>
      </c>
      <c r="D3070" t="s">
        <v>76</v>
      </c>
      <c r="E3070" t="s">
        <v>6705</v>
      </c>
      <c r="F3070" t="str">
        <f>"00089278"</f>
        <v>00089278</v>
      </c>
      <c r="G3070" t="s">
        <v>47</v>
      </c>
      <c r="H3070" t="s">
        <v>48</v>
      </c>
      <c r="I3070">
        <v>1623</v>
      </c>
      <c r="J3070" t="s">
        <v>21</v>
      </c>
      <c r="K3070">
        <v>0</v>
      </c>
      <c r="L3070" t="s">
        <v>35</v>
      </c>
      <c r="M3070">
        <v>975</v>
      </c>
    </row>
    <row r="3071" spans="1:13">
      <c r="A3071">
        <v>3065</v>
      </c>
      <c r="B3071">
        <v>52054</v>
      </c>
      <c r="C3071" t="s">
        <v>6706</v>
      </c>
      <c r="D3071" t="s">
        <v>80</v>
      </c>
      <c r="E3071" t="s">
        <v>6707</v>
      </c>
      <c r="F3071" t="str">
        <f>"00357154"</f>
        <v>00357154</v>
      </c>
      <c r="G3071" t="s">
        <v>610</v>
      </c>
      <c r="H3071" t="s">
        <v>20</v>
      </c>
      <c r="I3071">
        <v>1429</v>
      </c>
      <c r="J3071" t="s">
        <v>21</v>
      </c>
      <c r="K3071">
        <v>0</v>
      </c>
      <c r="M3071">
        <v>1428</v>
      </c>
    </row>
    <row r="3072" spans="1:13">
      <c r="A3072">
        <v>3066</v>
      </c>
      <c r="B3072">
        <v>56827</v>
      </c>
      <c r="C3072" t="s">
        <v>6708</v>
      </c>
      <c r="D3072" t="s">
        <v>205</v>
      </c>
      <c r="E3072" t="s">
        <v>6709</v>
      </c>
      <c r="F3072" t="str">
        <f>"201511013631"</f>
        <v>201511013631</v>
      </c>
      <c r="G3072" t="s">
        <v>230</v>
      </c>
      <c r="H3072" t="s">
        <v>20</v>
      </c>
      <c r="I3072">
        <v>1545</v>
      </c>
      <c r="J3072" t="s">
        <v>21</v>
      </c>
      <c r="K3072">
        <v>0</v>
      </c>
      <c r="M3072">
        <v>1507</v>
      </c>
    </row>
    <row r="3073" spans="1:13">
      <c r="A3073">
        <v>3067</v>
      </c>
      <c r="B3073">
        <v>91041</v>
      </c>
      <c r="C3073" t="s">
        <v>6710</v>
      </c>
      <c r="D3073" t="s">
        <v>153</v>
      </c>
      <c r="E3073" t="s">
        <v>6711</v>
      </c>
      <c r="F3073" t="str">
        <f>"00123178"</f>
        <v>00123178</v>
      </c>
      <c r="G3073" t="s">
        <v>1753</v>
      </c>
      <c r="H3073" t="s">
        <v>20</v>
      </c>
      <c r="I3073">
        <v>1544</v>
      </c>
      <c r="J3073" t="s">
        <v>21</v>
      </c>
      <c r="K3073">
        <v>0</v>
      </c>
      <c r="L3073" t="s">
        <v>83</v>
      </c>
      <c r="M3073">
        <v>1348</v>
      </c>
    </row>
    <row r="3074" spans="1:13">
      <c r="A3074">
        <v>3068</v>
      </c>
      <c r="B3074">
        <v>68262</v>
      </c>
      <c r="C3074" t="s">
        <v>6712</v>
      </c>
      <c r="D3074" t="s">
        <v>180</v>
      </c>
      <c r="E3074" t="s">
        <v>6713</v>
      </c>
      <c r="F3074" t="str">
        <f>"00249736"</f>
        <v>00249736</v>
      </c>
      <c r="G3074" t="s">
        <v>87</v>
      </c>
      <c r="H3074" t="s">
        <v>20</v>
      </c>
      <c r="I3074">
        <v>1436</v>
      </c>
      <c r="J3074" t="s">
        <v>21</v>
      </c>
      <c r="K3074">
        <v>0</v>
      </c>
      <c r="L3074" t="s">
        <v>59</v>
      </c>
      <c r="M3074">
        <v>828</v>
      </c>
    </row>
    <row r="3075" spans="1:13">
      <c r="A3075">
        <v>3069</v>
      </c>
      <c r="B3075">
        <v>55594</v>
      </c>
      <c r="C3075" t="s">
        <v>6714</v>
      </c>
      <c r="D3075" t="s">
        <v>80</v>
      </c>
      <c r="E3075" t="s">
        <v>6715</v>
      </c>
      <c r="F3075" t="str">
        <f>"00151528"</f>
        <v>00151528</v>
      </c>
      <c r="G3075" t="s">
        <v>47</v>
      </c>
      <c r="H3075" t="s">
        <v>48</v>
      </c>
      <c r="I3075">
        <v>1623</v>
      </c>
      <c r="J3075" t="s">
        <v>21</v>
      </c>
      <c r="K3075">
        <v>0</v>
      </c>
      <c r="L3075" t="s">
        <v>35</v>
      </c>
      <c r="M3075">
        <v>950</v>
      </c>
    </row>
    <row r="3076" spans="1:13">
      <c r="A3076">
        <v>3070</v>
      </c>
      <c r="B3076">
        <v>58273</v>
      </c>
      <c r="C3076" t="s">
        <v>6716</v>
      </c>
      <c r="D3076" t="s">
        <v>218</v>
      </c>
      <c r="E3076" t="s">
        <v>6717</v>
      </c>
      <c r="F3076" t="str">
        <f>"201506002112"</f>
        <v>201506002112</v>
      </c>
      <c r="G3076" t="s">
        <v>994</v>
      </c>
      <c r="H3076" t="s">
        <v>20</v>
      </c>
      <c r="I3076">
        <v>1522</v>
      </c>
      <c r="J3076" t="s">
        <v>21</v>
      </c>
      <c r="K3076">
        <v>0</v>
      </c>
      <c r="L3076" t="s">
        <v>35</v>
      </c>
      <c r="M3076">
        <v>919</v>
      </c>
    </row>
    <row r="3077" spans="1:13">
      <c r="A3077">
        <v>3071</v>
      </c>
      <c r="B3077">
        <v>78119</v>
      </c>
      <c r="C3077" t="s">
        <v>6718</v>
      </c>
      <c r="D3077" t="s">
        <v>914</v>
      </c>
      <c r="E3077" t="s">
        <v>6719</v>
      </c>
      <c r="F3077" t="str">
        <f>"00377447"</f>
        <v>00377447</v>
      </c>
      <c r="G3077" t="s">
        <v>733</v>
      </c>
      <c r="H3077" t="s">
        <v>734</v>
      </c>
      <c r="I3077">
        <v>1596</v>
      </c>
      <c r="J3077" t="s">
        <v>21</v>
      </c>
      <c r="K3077">
        <v>0</v>
      </c>
      <c r="L3077" t="s">
        <v>35</v>
      </c>
      <c r="M3077">
        <v>1021</v>
      </c>
    </row>
    <row r="3078" spans="1:13">
      <c r="A3078">
        <v>3072</v>
      </c>
      <c r="B3078">
        <v>84664</v>
      </c>
      <c r="C3078" t="s">
        <v>6720</v>
      </c>
      <c r="D3078" t="s">
        <v>80</v>
      </c>
      <c r="E3078" t="s">
        <v>6721</v>
      </c>
      <c r="F3078" t="str">
        <f>"00091425"</f>
        <v>00091425</v>
      </c>
      <c r="G3078" t="s">
        <v>1890</v>
      </c>
      <c r="H3078" t="s">
        <v>1891</v>
      </c>
      <c r="I3078">
        <v>1671</v>
      </c>
      <c r="J3078" t="s">
        <v>21</v>
      </c>
      <c r="K3078">
        <v>0</v>
      </c>
      <c r="M3078">
        <v>1608</v>
      </c>
    </row>
    <row r="3079" spans="1:13">
      <c r="A3079">
        <v>3073</v>
      </c>
      <c r="B3079">
        <v>108446</v>
      </c>
      <c r="C3079" t="s">
        <v>6722</v>
      </c>
      <c r="D3079" t="s">
        <v>209</v>
      </c>
      <c r="E3079" t="s">
        <v>6723</v>
      </c>
      <c r="F3079" t="str">
        <f>"00260022"</f>
        <v>00260022</v>
      </c>
      <c r="G3079" t="s">
        <v>437</v>
      </c>
      <c r="H3079" t="s">
        <v>20</v>
      </c>
      <c r="I3079">
        <v>1407</v>
      </c>
      <c r="J3079" t="s">
        <v>21</v>
      </c>
      <c r="K3079">
        <v>0</v>
      </c>
      <c r="L3079" t="s">
        <v>88</v>
      </c>
      <c r="M3079">
        <v>575</v>
      </c>
    </row>
    <row r="3080" spans="1:13">
      <c r="A3080">
        <v>3074</v>
      </c>
      <c r="B3080">
        <v>51439</v>
      </c>
      <c r="C3080" t="s">
        <v>6724</v>
      </c>
      <c r="D3080" t="s">
        <v>6725</v>
      </c>
      <c r="E3080" t="s">
        <v>6726</v>
      </c>
      <c r="F3080" t="str">
        <f>"201511010054"</f>
        <v>201511010054</v>
      </c>
      <c r="G3080" t="s">
        <v>82</v>
      </c>
      <c r="H3080" t="s">
        <v>20</v>
      </c>
      <c r="I3080">
        <v>1475</v>
      </c>
      <c r="J3080" t="s">
        <v>21</v>
      </c>
      <c r="K3080">
        <v>0</v>
      </c>
      <c r="M3080">
        <v>1428</v>
      </c>
    </row>
    <row r="3081" spans="1:13">
      <c r="A3081">
        <v>3075</v>
      </c>
      <c r="B3081">
        <v>93824</v>
      </c>
      <c r="C3081" t="s">
        <v>6727</v>
      </c>
      <c r="D3081" t="s">
        <v>243</v>
      </c>
      <c r="E3081" t="s">
        <v>6728</v>
      </c>
      <c r="F3081" t="str">
        <f>"00390738"</f>
        <v>00390738</v>
      </c>
      <c r="G3081" t="s">
        <v>278</v>
      </c>
      <c r="H3081" t="s">
        <v>20</v>
      </c>
      <c r="I3081">
        <v>1441</v>
      </c>
      <c r="J3081" t="s">
        <v>21</v>
      </c>
      <c r="K3081">
        <v>0</v>
      </c>
      <c r="L3081" t="s">
        <v>35</v>
      </c>
      <c r="M3081">
        <v>1205</v>
      </c>
    </row>
    <row r="3082" spans="1:13">
      <c r="A3082">
        <v>3076</v>
      </c>
      <c r="B3082">
        <v>104765</v>
      </c>
      <c r="C3082" t="s">
        <v>6729</v>
      </c>
      <c r="D3082" t="s">
        <v>243</v>
      </c>
      <c r="E3082" t="s">
        <v>6730</v>
      </c>
      <c r="F3082" t="str">
        <f>"00183422"</f>
        <v>00183422</v>
      </c>
      <c r="G3082" t="s">
        <v>19</v>
      </c>
      <c r="H3082" t="s">
        <v>20</v>
      </c>
      <c r="I3082">
        <v>1531</v>
      </c>
      <c r="J3082" t="s">
        <v>21</v>
      </c>
      <c r="K3082">
        <v>0</v>
      </c>
      <c r="M3082">
        <v>1338</v>
      </c>
    </row>
    <row r="3083" spans="1:13">
      <c r="A3083">
        <v>3077</v>
      </c>
      <c r="B3083">
        <v>98370</v>
      </c>
      <c r="C3083" t="s">
        <v>6731</v>
      </c>
      <c r="D3083" t="s">
        <v>243</v>
      </c>
      <c r="E3083" t="s">
        <v>6732</v>
      </c>
      <c r="F3083" t="str">
        <f>"00277124"</f>
        <v>00277124</v>
      </c>
      <c r="G3083" t="s">
        <v>593</v>
      </c>
      <c r="H3083" t="s">
        <v>20</v>
      </c>
      <c r="I3083">
        <v>1444</v>
      </c>
      <c r="J3083" t="s">
        <v>21</v>
      </c>
      <c r="K3083">
        <v>0</v>
      </c>
      <c r="L3083" t="s">
        <v>88</v>
      </c>
      <c r="M3083">
        <v>775</v>
      </c>
    </row>
    <row r="3084" spans="1:13">
      <c r="A3084">
        <v>3078</v>
      </c>
      <c r="B3084">
        <v>62165</v>
      </c>
      <c r="C3084" t="s">
        <v>6733</v>
      </c>
      <c r="D3084" t="s">
        <v>80</v>
      </c>
      <c r="E3084" t="s">
        <v>6734</v>
      </c>
      <c r="F3084" t="str">
        <f>"00366849"</f>
        <v>00366849</v>
      </c>
      <c r="G3084" t="s">
        <v>437</v>
      </c>
      <c r="H3084" t="s">
        <v>20</v>
      </c>
      <c r="I3084">
        <v>1407</v>
      </c>
      <c r="J3084" t="s">
        <v>21</v>
      </c>
      <c r="K3084">
        <v>0</v>
      </c>
      <c r="L3084" t="s">
        <v>112</v>
      </c>
      <c r="M3084">
        <v>870</v>
      </c>
    </row>
    <row r="3085" spans="1:13">
      <c r="A3085">
        <v>3079</v>
      </c>
      <c r="B3085">
        <v>95382</v>
      </c>
      <c r="C3085" t="s">
        <v>6735</v>
      </c>
      <c r="D3085" t="s">
        <v>121</v>
      </c>
      <c r="E3085" t="s">
        <v>6736</v>
      </c>
      <c r="F3085" t="str">
        <f>"00376221"</f>
        <v>00376221</v>
      </c>
      <c r="G3085" t="s">
        <v>47</v>
      </c>
      <c r="H3085" t="s">
        <v>48</v>
      </c>
      <c r="I3085">
        <v>1623</v>
      </c>
      <c r="J3085" t="s">
        <v>21</v>
      </c>
      <c r="K3085">
        <v>0</v>
      </c>
      <c r="L3085" t="s">
        <v>35</v>
      </c>
      <c r="M3085">
        <v>936</v>
      </c>
    </row>
    <row r="3086" spans="1:13">
      <c r="A3086">
        <v>3080</v>
      </c>
      <c r="B3086">
        <v>68711</v>
      </c>
      <c r="C3086" t="s">
        <v>6737</v>
      </c>
      <c r="D3086" t="s">
        <v>566</v>
      </c>
      <c r="E3086" t="s">
        <v>6738</v>
      </c>
      <c r="F3086" t="str">
        <f>"00393171"</f>
        <v>00393171</v>
      </c>
      <c r="G3086" t="s">
        <v>29</v>
      </c>
      <c r="H3086" t="s">
        <v>20</v>
      </c>
      <c r="I3086">
        <v>1446</v>
      </c>
      <c r="J3086" t="s">
        <v>21</v>
      </c>
      <c r="K3086">
        <v>0</v>
      </c>
      <c r="M3086">
        <v>1428</v>
      </c>
    </row>
    <row r="3087" spans="1:13">
      <c r="A3087">
        <v>3081</v>
      </c>
      <c r="B3087">
        <v>74871</v>
      </c>
      <c r="C3087" t="s">
        <v>6739</v>
      </c>
      <c r="D3087" t="s">
        <v>80</v>
      </c>
      <c r="E3087" t="s">
        <v>6740</v>
      </c>
      <c r="F3087" t="str">
        <f>"00375689"</f>
        <v>00375689</v>
      </c>
      <c r="G3087" t="s">
        <v>47</v>
      </c>
      <c r="H3087" t="s">
        <v>48</v>
      </c>
      <c r="I3087">
        <v>1623</v>
      </c>
      <c r="J3087" t="s">
        <v>21</v>
      </c>
      <c r="K3087">
        <v>0</v>
      </c>
      <c r="M3087">
        <v>1585</v>
      </c>
    </row>
    <row r="3088" spans="1:13">
      <c r="A3088">
        <v>3082</v>
      </c>
      <c r="B3088">
        <v>83436</v>
      </c>
      <c r="C3088" t="s">
        <v>6741</v>
      </c>
      <c r="D3088" t="s">
        <v>80</v>
      </c>
      <c r="E3088" t="s">
        <v>6742</v>
      </c>
      <c r="F3088" t="str">
        <f>"00403491"</f>
        <v>00403491</v>
      </c>
      <c r="G3088" t="s">
        <v>47</v>
      </c>
      <c r="H3088" t="s">
        <v>48</v>
      </c>
      <c r="I3088">
        <v>1623</v>
      </c>
      <c r="J3088" t="s">
        <v>21</v>
      </c>
      <c r="K3088">
        <v>0</v>
      </c>
      <c r="L3088" t="s">
        <v>35</v>
      </c>
      <c r="M3088">
        <v>958</v>
      </c>
    </row>
    <row r="3089" spans="1:13">
      <c r="A3089">
        <v>3083</v>
      </c>
      <c r="B3089">
        <v>108325</v>
      </c>
      <c r="C3089" t="s">
        <v>6743</v>
      </c>
      <c r="D3089" t="s">
        <v>198</v>
      </c>
      <c r="E3089" t="s">
        <v>6744</v>
      </c>
      <c r="F3089" t="str">
        <f>"00095970"</f>
        <v>00095970</v>
      </c>
      <c r="G3089" t="s">
        <v>3945</v>
      </c>
      <c r="H3089" t="s">
        <v>6745</v>
      </c>
      <c r="I3089">
        <v>1315</v>
      </c>
      <c r="J3089" t="s">
        <v>21</v>
      </c>
      <c r="K3089">
        <v>6</v>
      </c>
      <c r="M3089">
        <v>1138</v>
      </c>
    </row>
    <row r="3090" spans="1:13">
      <c r="A3090">
        <v>3084</v>
      </c>
      <c r="B3090">
        <v>110584</v>
      </c>
      <c r="C3090" t="s">
        <v>6746</v>
      </c>
      <c r="D3090" t="s">
        <v>507</v>
      </c>
      <c r="E3090" t="s">
        <v>6747</v>
      </c>
      <c r="F3090" t="str">
        <f>"00267845"</f>
        <v>00267845</v>
      </c>
      <c r="G3090" t="s">
        <v>1345</v>
      </c>
      <c r="H3090" t="s">
        <v>137</v>
      </c>
      <c r="I3090">
        <v>1606</v>
      </c>
      <c r="J3090" t="s">
        <v>21</v>
      </c>
      <c r="K3090">
        <v>0</v>
      </c>
      <c r="M3090">
        <v>1728</v>
      </c>
    </row>
    <row r="3091" spans="1:13">
      <c r="A3091">
        <v>3085</v>
      </c>
      <c r="B3091">
        <v>108419</v>
      </c>
      <c r="C3091" t="s">
        <v>6748</v>
      </c>
      <c r="D3091" t="s">
        <v>2158</v>
      </c>
      <c r="E3091" t="s">
        <v>6749</v>
      </c>
      <c r="F3091" t="str">
        <f>"00376388"</f>
        <v>00376388</v>
      </c>
      <c r="G3091" t="s">
        <v>107</v>
      </c>
      <c r="H3091" t="s">
        <v>20</v>
      </c>
      <c r="I3091">
        <v>1472</v>
      </c>
      <c r="J3091" t="s">
        <v>21</v>
      </c>
      <c r="K3091">
        <v>0</v>
      </c>
      <c r="M3091">
        <v>1388</v>
      </c>
    </row>
    <row r="3092" spans="1:13">
      <c r="A3092">
        <v>3086</v>
      </c>
      <c r="B3092">
        <v>87076</v>
      </c>
      <c r="C3092" t="s">
        <v>6750</v>
      </c>
      <c r="D3092" t="s">
        <v>80</v>
      </c>
      <c r="E3092" t="s">
        <v>6751</v>
      </c>
      <c r="F3092" t="str">
        <f>"00375387"</f>
        <v>00375387</v>
      </c>
      <c r="G3092" t="s">
        <v>107</v>
      </c>
      <c r="H3092" t="s">
        <v>20</v>
      </c>
      <c r="I3092">
        <v>1472</v>
      </c>
      <c r="J3092" t="s">
        <v>21</v>
      </c>
      <c r="K3092">
        <v>0</v>
      </c>
      <c r="L3092" t="s">
        <v>35</v>
      </c>
      <c r="M3092">
        <v>908</v>
      </c>
    </row>
    <row r="3093" spans="1:13">
      <c r="A3093">
        <v>3087</v>
      </c>
      <c r="B3093">
        <v>74556</v>
      </c>
      <c r="C3093" t="s">
        <v>6752</v>
      </c>
      <c r="D3093" t="s">
        <v>2158</v>
      </c>
      <c r="E3093" t="s">
        <v>6753</v>
      </c>
      <c r="F3093" t="str">
        <f>"00385614"</f>
        <v>00385614</v>
      </c>
      <c r="G3093" t="s">
        <v>107</v>
      </c>
      <c r="H3093" t="s">
        <v>20</v>
      </c>
      <c r="I3093">
        <v>1472</v>
      </c>
      <c r="J3093" t="s">
        <v>21</v>
      </c>
      <c r="K3093">
        <v>0</v>
      </c>
      <c r="L3093" t="s">
        <v>35</v>
      </c>
      <c r="M3093">
        <v>908</v>
      </c>
    </row>
    <row r="3094" spans="1:13">
      <c r="A3094">
        <v>3088</v>
      </c>
      <c r="B3094">
        <v>89263</v>
      </c>
      <c r="C3094" t="s">
        <v>6754</v>
      </c>
      <c r="D3094" t="s">
        <v>80</v>
      </c>
      <c r="E3094" t="s">
        <v>6755</v>
      </c>
      <c r="F3094" t="str">
        <f>"00379630"</f>
        <v>00379630</v>
      </c>
      <c r="G3094" t="s">
        <v>78</v>
      </c>
      <c r="H3094" t="s">
        <v>20</v>
      </c>
      <c r="I3094">
        <v>1460</v>
      </c>
      <c r="J3094" t="s">
        <v>21</v>
      </c>
      <c r="K3094">
        <v>0</v>
      </c>
      <c r="M3094">
        <v>1727</v>
      </c>
    </row>
    <row r="3095" spans="1:13">
      <c r="A3095">
        <v>3089</v>
      </c>
      <c r="B3095">
        <v>55896</v>
      </c>
      <c r="C3095" t="s">
        <v>6756</v>
      </c>
      <c r="D3095" t="s">
        <v>130</v>
      </c>
      <c r="E3095" t="s">
        <v>6757</v>
      </c>
      <c r="F3095" t="str">
        <f>"00355186"</f>
        <v>00355186</v>
      </c>
      <c r="G3095" t="s">
        <v>760</v>
      </c>
      <c r="H3095" t="s">
        <v>20</v>
      </c>
      <c r="I3095">
        <v>1432</v>
      </c>
      <c r="J3095" t="s">
        <v>21</v>
      </c>
      <c r="K3095">
        <v>0</v>
      </c>
      <c r="L3095" t="s">
        <v>35</v>
      </c>
      <c r="M3095">
        <v>1150</v>
      </c>
    </row>
    <row r="3096" spans="1:13">
      <c r="A3096">
        <v>3090</v>
      </c>
      <c r="B3096">
        <v>57312</v>
      </c>
      <c r="C3096" t="s">
        <v>6758</v>
      </c>
      <c r="D3096" t="s">
        <v>76</v>
      </c>
      <c r="E3096" t="s">
        <v>6759</v>
      </c>
      <c r="F3096" t="str">
        <f>"00331254"</f>
        <v>00331254</v>
      </c>
      <c r="G3096" t="s">
        <v>892</v>
      </c>
      <c r="H3096" t="s">
        <v>20</v>
      </c>
      <c r="I3096">
        <v>1410</v>
      </c>
      <c r="J3096" t="s">
        <v>21</v>
      </c>
      <c r="K3096">
        <v>0</v>
      </c>
      <c r="L3096" t="s">
        <v>35</v>
      </c>
      <c r="M3096">
        <v>908</v>
      </c>
    </row>
    <row r="3097" spans="1:13">
      <c r="A3097">
        <v>3091</v>
      </c>
      <c r="B3097">
        <v>72761</v>
      </c>
      <c r="C3097" t="s">
        <v>6760</v>
      </c>
      <c r="D3097" t="s">
        <v>130</v>
      </c>
      <c r="E3097" t="s">
        <v>6761</v>
      </c>
      <c r="F3097" t="str">
        <f>"00402528"</f>
        <v>00402528</v>
      </c>
      <c r="G3097" t="s">
        <v>38</v>
      </c>
      <c r="H3097" t="s">
        <v>39</v>
      </c>
      <c r="I3097">
        <v>1634</v>
      </c>
      <c r="J3097" t="s">
        <v>21</v>
      </c>
      <c r="K3097">
        <v>6</v>
      </c>
      <c r="L3097" t="s">
        <v>83</v>
      </c>
      <c r="M3097">
        <v>1063</v>
      </c>
    </row>
    <row r="3098" spans="1:13">
      <c r="A3098">
        <v>3092</v>
      </c>
      <c r="B3098">
        <v>73376</v>
      </c>
      <c r="C3098" t="s">
        <v>6762</v>
      </c>
      <c r="D3098" t="s">
        <v>213</v>
      </c>
      <c r="E3098" t="s">
        <v>6763</v>
      </c>
      <c r="F3098" t="str">
        <f>"00391291"</f>
        <v>00391291</v>
      </c>
      <c r="G3098" t="s">
        <v>19</v>
      </c>
      <c r="H3098" t="s">
        <v>20</v>
      </c>
      <c r="I3098">
        <v>1531</v>
      </c>
      <c r="J3098" t="s">
        <v>21</v>
      </c>
      <c r="K3098">
        <v>0</v>
      </c>
      <c r="M3098">
        <v>1721</v>
      </c>
    </row>
    <row r="3099" spans="1:13">
      <c r="A3099">
        <v>3093</v>
      </c>
      <c r="B3099">
        <v>112955</v>
      </c>
      <c r="C3099" t="s">
        <v>6764</v>
      </c>
      <c r="D3099" t="s">
        <v>105</v>
      </c>
      <c r="E3099" t="s">
        <v>6765</v>
      </c>
      <c r="F3099" t="str">
        <f>"00411405"</f>
        <v>00411405</v>
      </c>
      <c r="G3099" t="s">
        <v>63</v>
      </c>
      <c r="H3099" t="s">
        <v>20</v>
      </c>
      <c r="I3099">
        <v>1576</v>
      </c>
      <c r="J3099" t="s">
        <v>21</v>
      </c>
      <c r="K3099">
        <v>0</v>
      </c>
      <c r="L3099" t="s">
        <v>59</v>
      </c>
      <c r="M3099">
        <v>1228</v>
      </c>
    </row>
    <row r="3100" spans="1:13">
      <c r="A3100">
        <v>3094</v>
      </c>
      <c r="B3100">
        <v>100069</v>
      </c>
      <c r="C3100" t="s">
        <v>6766</v>
      </c>
      <c r="D3100" t="s">
        <v>105</v>
      </c>
      <c r="E3100" t="s">
        <v>6767</v>
      </c>
      <c r="F3100" t="str">
        <f>"00362089"</f>
        <v>00362089</v>
      </c>
      <c r="G3100" t="s">
        <v>3854</v>
      </c>
      <c r="H3100" t="s">
        <v>308</v>
      </c>
      <c r="I3100">
        <v>1591</v>
      </c>
      <c r="J3100" t="s">
        <v>21</v>
      </c>
      <c r="K3100">
        <v>0</v>
      </c>
      <c r="M3100">
        <v>1528</v>
      </c>
    </row>
    <row r="3101" spans="1:13">
      <c r="A3101">
        <v>3095</v>
      </c>
      <c r="B3101">
        <v>54868</v>
      </c>
      <c r="C3101" t="s">
        <v>6768</v>
      </c>
      <c r="D3101" t="s">
        <v>243</v>
      </c>
      <c r="E3101" t="s">
        <v>6769</v>
      </c>
      <c r="F3101" t="str">
        <f>"00236999"</f>
        <v>00236999</v>
      </c>
      <c r="G3101" t="s">
        <v>856</v>
      </c>
      <c r="H3101" t="s">
        <v>366</v>
      </c>
      <c r="I3101">
        <v>1706</v>
      </c>
      <c r="J3101" t="s">
        <v>21</v>
      </c>
      <c r="K3101">
        <v>0</v>
      </c>
      <c r="L3101" t="s">
        <v>88</v>
      </c>
      <c r="M3101">
        <v>519</v>
      </c>
    </row>
    <row r="3102" spans="1:13">
      <c r="A3102">
        <v>3096</v>
      </c>
      <c r="B3102">
        <v>88312</v>
      </c>
      <c r="C3102" t="s">
        <v>6770</v>
      </c>
      <c r="D3102" t="s">
        <v>76</v>
      </c>
      <c r="E3102" t="s">
        <v>6771</v>
      </c>
      <c r="F3102" t="str">
        <f>"00268794"</f>
        <v>00268794</v>
      </c>
      <c r="G3102" t="s">
        <v>371</v>
      </c>
      <c r="H3102" t="s">
        <v>20</v>
      </c>
      <c r="I3102">
        <v>1526</v>
      </c>
      <c r="J3102" t="s">
        <v>21</v>
      </c>
      <c r="K3102">
        <v>0</v>
      </c>
      <c r="L3102" t="s">
        <v>88</v>
      </c>
      <c r="M3102">
        <v>400</v>
      </c>
    </row>
    <row r="3103" spans="1:13">
      <c r="A3103">
        <v>3097</v>
      </c>
      <c r="B3103">
        <v>101014</v>
      </c>
      <c r="C3103" t="s">
        <v>6772</v>
      </c>
      <c r="D3103" t="s">
        <v>130</v>
      </c>
      <c r="E3103" t="s">
        <v>6773</v>
      </c>
      <c r="F3103" t="str">
        <f>"00315248"</f>
        <v>00315248</v>
      </c>
      <c r="G3103" t="s">
        <v>38</v>
      </c>
      <c r="H3103" t="s">
        <v>39</v>
      </c>
      <c r="I3103">
        <v>1634</v>
      </c>
      <c r="J3103" t="s">
        <v>21</v>
      </c>
      <c r="K3103">
        <v>6</v>
      </c>
      <c r="M3103">
        <v>1128</v>
      </c>
    </row>
    <row r="3104" spans="1:13">
      <c r="A3104">
        <v>3098</v>
      </c>
      <c r="B3104">
        <v>98285</v>
      </c>
      <c r="C3104" t="s">
        <v>6774</v>
      </c>
      <c r="D3104" t="s">
        <v>180</v>
      </c>
      <c r="E3104" t="s">
        <v>6775</v>
      </c>
      <c r="F3104" t="str">
        <f>"201410003392"</f>
        <v>201410003392</v>
      </c>
      <c r="G3104" t="s">
        <v>798</v>
      </c>
      <c r="H3104" t="s">
        <v>326</v>
      </c>
      <c r="I3104">
        <v>1593</v>
      </c>
      <c r="J3104" t="s">
        <v>21</v>
      </c>
      <c r="K3104">
        <v>0</v>
      </c>
      <c r="M3104">
        <v>1438</v>
      </c>
    </row>
    <row r="3105" spans="1:13">
      <c r="A3105">
        <v>3099</v>
      </c>
      <c r="B3105">
        <v>105031</v>
      </c>
      <c r="C3105" t="s">
        <v>6776</v>
      </c>
      <c r="D3105" t="s">
        <v>127</v>
      </c>
      <c r="E3105" t="s">
        <v>6777</v>
      </c>
      <c r="F3105" t="str">
        <f>"00044367"</f>
        <v>00044367</v>
      </c>
      <c r="G3105" t="s">
        <v>107</v>
      </c>
      <c r="H3105" t="s">
        <v>20</v>
      </c>
      <c r="I3105">
        <v>1472</v>
      </c>
      <c r="J3105" t="s">
        <v>21</v>
      </c>
      <c r="K3105">
        <v>0</v>
      </c>
      <c r="M3105">
        <v>1489</v>
      </c>
    </row>
    <row r="3106" spans="1:13">
      <c r="A3106">
        <v>3100</v>
      </c>
      <c r="B3106">
        <v>61791</v>
      </c>
      <c r="C3106" t="s">
        <v>6778</v>
      </c>
      <c r="D3106" t="s">
        <v>2158</v>
      </c>
      <c r="E3106" t="s">
        <v>6779</v>
      </c>
      <c r="F3106" t="str">
        <f>"00050154"</f>
        <v>00050154</v>
      </c>
      <c r="G3106" t="s">
        <v>211</v>
      </c>
      <c r="H3106" t="s">
        <v>857</v>
      </c>
      <c r="I3106">
        <v>1659</v>
      </c>
      <c r="J3106" t="s">
        <v>21</v>
      </c>
      <c r="K3106">
        <v>0</v>
      </c>
      <c r="L3106" t="s">
        <v>35</v>
      </c>
      <c r="M3106">
        <v>1133</v>
      </c>
    </row>
    <row r="3107" spans="1:13">
      <c r="A3107">
        <v>3101</v>
      </c>
      <c r="B3107">
        <v>102325</v>
      </c>
      <c r="C3107" t="s">
        <v>6780</v>
      </c>
      <c r="D3107" t="s">
        <v>3192</v>
      </c>
      <c r="E3107" t="s">
        <v>6781</v>
      </c>
      <c r="F3107" t="str">
        <f>"00368555"</f>
        <v>00368555</v>
      </c>
      <c r="G3107" t="s">
        <v>47</v>
      </c>
      <c r="H3107" t="s">
        <v>48</v>
      </c>
      <c r="I3107">
        <v>1623</v>
      </c>
      <c r="J3107" t="s">
        <v>21</v>
      </c>
      <c r="K3107">
        <v>0</v>
      </c>
      <c r="L3107" t="s">
        <v>35</v>
      </c>
      <c r="M3107">
        <v>1100</v>
      </c>
    </row>
    <row r="3108" spans="1:13">
      <c r="A3108">
        <v>3102</v>
      </c>
      <c r="B3108">
        <v>60009</v>
      </c>
      <c r="C3108" t="s">
        <v>6782</v>
      </c>
      <c r="D3108" t="s">
        <v>914</v>
      </c>
      <c r="E3108" t="s">
        <v>6783</v>
      </c>
      <c r="F3108" t="str">
        <f>"00364953"</f>
        <v>00364953</v>
      </c>
      <c r="G3108" t="s">
        <v>593</v>
      </c>
      <c r="H3108" t="s">
        <v>20</v>
      </c>
      <c r="I3108">
        <v>1444</v>
      </c>
      <c r="J3108" t="s">
        <v>21</v>
      </c>
      <c r="K3108">
        <v>0</v>
      </c>
      <c r="L3108" t="s">
        <v>35</v>
      </c>
      <c r="M3108">
        <v>1175</v>
      </c>
    </row>
    <row r="3109" spans="1:13">
      <c r="A3109">
        <v>3103</v>
      </c>
      <c r="B3109">
        <v>69611</v>
      </c>
      <c r="C3109" t="s">
        <v>6784</v>
      </c>
      <c r="D3109" t="s">
        <v>243</v>
      </c>
      <c r="E3109" t="s">
        <v>6785</v>
      </c>
      <c r="F3109" t="str">
        <f>"00396182"</f>
        <v>00396182</v>
      </c>
      <c r="G3109" t="s">
        <v>763</v>
      </c>
      <c r="H3109" t="s">
        <v>20</v>
      </c>
      <c r="I3109">
        <v>1430</v>
      </c>
      <c r="J3109" t="s">
        <v>21</v>
      </c>
      <c r="K3109">
        <v>0</v>
      </c>
      <c r="L3109" t="s">
        <v>35</v>
      </c>
      <c r="M3109">
        <v>974</v>
      </c>
    </row>
    <row r="3110" spans="1:13">
      <c r="A3110">
        <v>3104</v>
      </c>
      <c r="B3110">
        <v>62385</v>
      </c>
      <c r="C3110" t="s">
        <v>6786</v>
      </c>
      <c r="D3110" t="s">
        <v>76</v>
      </c>
      <c r="E3110" t="s">
        <v>6787</v>
      </c>
      <c r="F3110" t="str">
        <f>"00007088"</f>
        <v>00007088</v>
      </c>
      <c r="G3110" t="s">
        <v>593</v>
      </c>
      <c r="H3110" t="s">
        <v>20</v>
      </c>
      <c r="I3110">
        <v>1444</v>
      </c>
      <c r="J3110" t="s">
        <v>21</v>
      </c>
      <c r="K3110">
        <v>0</v>
      </c>
      <c r="M3110">
        <v>1528</v>
      </c>
    </row>
    <row r="3111" spans="1:13">
      <c r="A3111">
        <v>3105</v>
      </c>
      <c r="B3111">
        <v>51830</v>
      </c>
      <c r="C3111" t="s">
        <v>6788</v>
      </c>
      <c r="D3111" t="s">
        <v>80</v>
      </c>
      <c r="E3111" t="s">
        <v>6789</v>
      </c>
      <c r="F3111" t="str">
        <f>"00026771"</f>
        <v>00026771</v>
      </c>
      <c r="G3111" t="s">
        <v>4542</v>
      </c>
      <c r="H3111" t="s">
        <v>1610</v>
      </c>
      <c r="I3111">
        <v>1313</v>
      </c>
      <c r="J3111" t="s">
        <v>21</v>
      </c>
      <c r="K3111">
        <v>6</v>
      </c>
      <c r="L3111" t="s">
        <v>35</v>
      </c>
      <c r="M3111">
        <v>933</v>
      </c>
    </row>
    <row r="3112" spans="1:13">
      <c r="A3112">
        <v>3106</v>
      </c>
      <c r="B3112">
        <v>48895</v>
      </c>
      <c r="C3112" t="s">
        <v>6790</v>
      </c>
      <c r="D3112" t="s">
        <v>180</v>
      </c>
      <c r="E3112" t="s">
        <v>6791</v>
      </c>
      <c r="F3112" t="str">
        <f>"00270368"</f>
        <v>00270368</v>
      </c>
      <c r="G3112" t="s">
        <v>150</v>
      </c>
      <c r="H3112" t="s">
        <v>151</v>
      </c>
      <c r="I3112">
        <v>1699</v>
      </c>
      <c r="J3112" t="s">
        <v>21</v>
      </c>
      <c r="K3112">
        <v>0</v>
      </c>
      <c r="L3112" t="s">
        <v>35</v>
      </c>
      <c r="M3112">
        <v>823</v>
      </c>
    </row>
    <row r="3113" spans="1:13">
      <c r="A3113">
        <v>3107</v>
      </c>
      <c r="B3113">
        <v>84296</v>
      </c>
      <c r="C3113" t="s">
        <v>6792</v>
      </c>
      <c r="D3113" t="s">
        <v>6793</v>
      </c>
      <c r="E3113" t="s">
        <v>6794</v>
      </c>
      <c r="F3113" t="str">
        <f>"00222009"</f>
        <v>00222009</v>
      </c>
      <c r="G3113" t="s">
        <v>155</v>
      </c>
      <c r="H3113" t="s">
        <v>156</v>
      </c>
      <c r="I3113">
        <v>1342</v>
      </c>
      <c r="J3113" t="s">
        <v>21</v>
      </c>
      <c r="K3113">
        <v>0</v>
      </c>
      <c r="L3113" t="s">
        <v>35</v>
      </c>
      <c r="M3113">
        <v>1036</v>
      </c>
    </row>
    <row r="3114" spans="1:13">
      <c r="A3114">
        <v>3108</v>
      </c>
      <c r="B3114">
        <v>72710</v>
      </c>
      <c r="C3114" t="s">
        <v>6795</v>
      </c>
      <c r="D3114" t="s">
        <v>117</v>
      </c>
      <c r="E3114" t="s">
        <v>6796</v>
      </c>
      <c r="F3114" t="str">
        <f>"00404621"</f>
        <v>00404621</v>
      </c>
      <c r="G3114" t="s">
        <v>19</v>
      </c>
      <c r="H3114" t="s">
        <v>20</v>
      </c>
      <c r="I3114">
        <v>1531</v>
      </c>
      <c r="J3114" t="s">
        <v>21</v>
      </c>
      <c r="K3114">
        <v>0</v>
      </c>
      <c r="M3114">
        <v>1355</v>
      </c>
    </row>
    <row r="3115" spans="1:13">
      <c r="A3115">
        <v>3109</v>
      </c>
      <c r="B3115">
        <v>68775</v>
      </c>
      <c r="C3115" t="s">
        <v>6797</v>
      </c>
      <c r="D3115" t="s">
        <v>105</v>
      </c>
      <c r="E3115" t="s">
        <v>6798</v>
      </c>
      <c r="F3115" t="str">
        <f>"00375683"</f>
        <v>00375683</v>
      </c>
      <c r="G3115" t="s">
        <v>6799</v>
      </c>
      <c r="H3115" t="s">
        <v>20</v>
      </c>
      <c r="I3115">
        <v>1438</v>
      </c>
      <c r="J3115" t="s">
        <v>21</v>
      </c>
      <c r="K3115">
        <v>6</v>
      </c>
      <c r="L3115" t="s">
        <v>35</v>
      </c>
      <c r="M3115">
        <v>1108</v>
      </c>
    </row>
    <row r="3116" spans="1:13">
      <c r="A3116">
        <v>3110</v>
      </c>
      <c r="B3116">
        <v>59107</v>
      </c>
      <c r="C3116" t="s">
        <v>6800</v>
      </c>
      <c r="D3116" t="s">
        <v>105</v>
      </c>
      <c r="E3116" t="s">
        <v>6801</v>
      </c>
      <c r="F3116" t="str">
        <f>"00176131"</f>
        <v>00176131</v>
      </c>
      <c r="G3116" t="s">
        <v>488</v>
      </c>
      <c r="H3116" t="s">
        <v>20</v>
      </c>
      <c r="I3116">
        <v>1482</v>
      </c>
      <c r="J3116" t="s">
        <v>21</v>
      </c>
      <c r="K3116">
        <v>0</v>
      </c>
      <c r="M3116">
        <v>1288</v>
      </c>
    </row>
    <row r="3117" spans="1:13">
      <c r="A3117">
        <v>3111</v>
      </c>
      <c r="B3117">
        <v>99375</v>
      </c>
      <c r="C3117" t="s">
        <v>6802</v>
      </c>
      <c r="D3117" t="s">
        <v>180</v>
      </c>
      <c r="E3117" t="s">
        <v>6803</v>
      </c>
      <c r="F3117" t="str">
        <f>"00348993"</f>
        <v>00348993</v>
      </c>
      <c r="G3117" t="s">
        <v>713</v>
      </c>
      <c r="H3117" t="s">
        <v>366</v>
      </c>
      <c r="I3117">
        <v>1690</v>
      </c>
      <c r="J3117" t="s">
        <v>21</v>
      </c>
      <c r="K3117">
        <v>0</v>
      </c>
      <c r="L3117" t="s">
        <v>112</v>
      </c>
      <c r="M3117">
        <v>958</v>
      </c>
    </row>
    <row r="3118" spans="1:13">
      <c r="A3118">
        <v>3112</v>
      </c>
      <c r="B3118">
        <v>49181</v>
      </c>
      <c r="C3118" t="s">
        <v>6804</v>
      </c>
      <c r="D3118" t="s">
        <v>6805</v>
      </c>
      <c r="E3118" t="s">
        <v>6806</v>
      </c>
      <c r="F3118" t="str">
        <f>"00265021"</f>
        <v>00265021</v>
      </c>
      <c r="G3118" t="s">
        <v>883</v>
      </c>
      <c r="H3118" t="s">
        <v>270</v>
      </c>
      <c r="I3118">
        <v>1585</v>
      </c>
      <c r="J3118" t="s">
        <v>21</v>
      </c>
      <c r="K3118">
        <v>0</v>
      </c>
      <c r="L3118" t="s">
        <v>59</v>
      </c>
      <c r="M3118">
        <v>838</v>
      </c>
    </row>
    <row r="3119" spans="1:13">
      <c r="A3119">
        <v>3113</v>
      </c>
      <c r="B3119">
        <v>92161</v>
      </c>
      <c r="C3119" t="s">
        <v>6807</v>
      </c>
      <c r="D3119" t="s">
        <v>139</v>
      </c>
      <c r="E3119" t="s">
        <v>6808</v>
      </c>
      <c r="F3119" t="str">
        <f>"201511009048"</f>
        <v>201511009048</v>
      </c>
      <c r="G3119" t="s">
        <v>125</v>
      </c>
      <c r="H3119" t="s">
        <v>20</v>
      </c>
      <c r="I3119">
        <v>1507</v>
      </c>
      <c r="J3119" t="s">
        <v>21</v>
      </c>
      <c r="K3119">
        <v>0</v>
      </c>
      <c r="M3119">
        <v>1571</v>
      </c>
    </row>
    <row r="3120" spans="1:13">
      <c r="A3120">
        <v>3114</v>
      </c>
      <c r="B3120">
        <v>82631</v>
      </c>
      <c r="C3120" t="s">
        <v>6809</v>
      </c>
      <c r="D3120" t="s">
        <v>145</v>
      </c>
      <c r="E3120" t="s">
        <v>6810</v>
      </c>
      <c r="F3120" t="str">
        <f>"00374335"</f>
        <v>00374335</v>
      </c>
      <c r="G3120" t="s">
        <v>47</v>
      </c>
      <c r="H3120" t="s">
        <v>48</v>
      </c>
      <c r="I3120">
        <v>1623</v>
      </c>
      <c r="J3120" t="s">
        <v>21</v>
      </c>
      <c r="K3120">
        <v>0</v>
      </c>
      <c r="L3120" t="s">
        <v>112</v>
      </c>
      <c r="M3120">
        <v>791</v>
      </c>
    </row>
    <row r="3121" spans="1:13">
      <c r="A3121">
        <v>3115</v>
      </c>
      <c r="B3121">
        <v>93238</v>
      </c>
      <c r="C3121" t="s">
        <v>6811</v>
      </c>
      <c r="D3121" t="s">
        <v>76</v>
      </c>
      <c r="E3121" t="s">
        <v>6812</v>
      </c>
      <c r="F3121" t="str">
        <f>"00382519"</f>
        <v>00382519</v>
      </c>
      <c r="G3121" t="s">
        <v>107</v>
      </c>
      <c r="H3121" t="s">
        <v>20</v>
      </c>
      <c r="I3121">
        <v>1472</v>
      </c>
      <c r="J3121" t="s">
        <v>21</v>
      </c>
      <c r="K3121">
        <v>0</v>
      </c>
      <c r="L3121" t="s">
        <v>35</v>
      </c>
      <c r="M3121">
        <v>908</v>
      </c>
    </row>
    <row r="3122" spans="1:13">
      <c r="A3122">
        <v>3116</v>
      </c>
      <c r="B3122">
        <v>76556</v>
      </c>
      <c r="C3122" t="s">
        <v>6813</v>
      </c>
      <c r="D3122" t="s">
        <v>180</v>
      </c>
      <c r="E3122" t="s">
        <v>6814</v>
      </c>
      <c r="F3122" t="str">
        <f>"00381581"</f>
        <v>00381581</v>
      </c>
      <c r="G3122" t="s">
        <v>47</v>
      </c>
      <c r="H3122" t="s">
        <v>48</v>
      </c>
      <c r="I3122">
        <v>1623</v>
      </c>
      <c r="J3122" t="s">
        <v>21</v>
      </c>
      <c r="K3122">
        <v>0</v>
      </c>
      <c r="L3122" t="s">
        <v>88</v>
      </c>
      <c r="M3122">
        <v>698</v>
      </c>
    </row>
    <row r="3123" spans="1:13">
      <c r="A3123">
        <v>3117</v>
      </c>
      <c r="B3123">
        <v>78865</v>
      </c>
      <c r="C3123" t="s">
        <v>6815</v>
      </c>
      <c r="D3123" t="s">
        <v>205</v>
      </c>
      <c r="E3123" t="s">
        <v>6816</v>
      </c>
      <c r="F3123" t="str">
        <f>"00388844"</f>
        <v>00388844</v>
      </c>
      <c r="G3123" t="s">
        <v>1005</v>
      </c>
      <c r="H3123" t="s">
        <v>20</v>
      </c>
      <c r="I3123">
        <v>1580</v>
      </c>
      <c r="J3123" t="s">
        <v>21</v>
      </c>
      <c r="K3123">
        <v>6</v>
      </c>
      <c r="L3123" t="s">
        <v>35</v>
      </c>
      <c r="M3123">
        <v>1187</v>
      </c>
    </row>
    <row r="3124" spans="1:13">
      <c r="A3124">
        <v>3118</v>
      </c>
      <c r="B3124">
        <v>55058</v>
      </c>
      <c r="C3124" t="s">
        <v>6817</v>
      </c>
      <c r="D3124" t="s">
        <v>6818</v>
      </c>
      <c r="E3124" t="s">
        <v>6819</v>
      </c>
      <c r="F3124" t="str">
        <f>"00269878"</f>
        <v>00269878</v>
      </c>
      <c r="G3124" t="s">
        <v>240</v>
      </c>
      <c r="H3124" t="s">
        <v>241</v>
      </c>
      <c r="I3124">
        <v>1366</v>
      </c>
      <c r="J3124" t="s">
        <v>21</v>
      </c>
      <c r="K3124">
        <v>6</v>
      </c>
      <c r="L3124" t="s">
        <v>35</v>
      </c>
      <c r="M3124">
        <v>983</v>
      </c>
    </row>
    <row r="3125" spans="1:13">
      <c r="A3125">
        <v>3119</v>
      </c>
      <c r="B3125">
        <v>53253</v>
      </c>
      <c r="C3125" t="s">
        <v>6820</v>
      </c>
      <c r="D3125" t="s">
        <v>243</v>
      </c>
      <c r="E3125" t="s">
        <v>6821</v>
      </c>
      <c r="F3125" t="str">
        <f>"00248605"</f>
        <v>00248605</v>
      </c>
      <c r="G3125" t="s">
        <v>29</v>
      </c>
      <c r="H3125" t="s">
        <v>20</v>
      </c>
      <c r="I3125">
        <v>1446</v>
      </c>
      <c r="J3125" t="s">
        <v>21</v>
      </c>
      <c r="K3125">
        <v>0</v>
      </c>
      <c r="L3125" t="s">
        <v>59</v>
      </c>
      <c r="M3125">
        <v>927</v>
      </c>
    </row>
    <row r="3126" spans="1:13">
      <c r="A3126">
        <v>3120</v>
      </c>
      <c r="B3126">
        <v>61279</v>
      </c>
      <c r="C3126" t="s">
        <v>6822</v>
      </c>
      <c r="D3126" t="s">
        <v>153</v>
      </c>
      <c r="E3126" t="s">
        <v>6823</v>
      </c>
      <c r="F3126" t="str">
        <f>"00254938"</f>
        <v>00254938</v>
      </c>
      <c r="G3126" t="s">
        <v>511</v>
      </c>
      <c r="H3126" t="s">
        <v>20</v>
      </c>
      <c r="I3126">
        <v>1466</v>
      </c>
      <c r="J3126" t="s">
        <v>21</v>
      </c>
      <c r="K3126">
        <v>6</v>
      </c>
      <c r="M3126">
        <v>1488</v>
      </c>
    </row>
    <row r="3127" spans="1:13">
      <c r="A3127">
        <v>3121</v>
      </c>
      <c r="B3127">
        <v>113299</v>
      </c>
      <c r="C3127" t="s">
        <v>6824</v>
      </c>
      <c r="D3127" t="s">
        <v>218</v>
      </c>
      <c r="E3127" t="s">
        <v>6825</v>
      </c>
      <c r="F3127" t="str">
        <f>"00420910"</f>
        <v>00420910</v>
      </c>
      <c r="G3127" t="s">
        <v>1005</v>
      </c>
      <c r="H3127" t="s">
        <v>6826</v>
      </c>
      <c r="I3127">
        <v>1673</v>
      </c>
      <c r="J3127" t="s">
        <v>21</v>
      </c>
      <c r="K3127">
        <v>6</v>
      </c>
      <c r="M3127">
        <v>1308</v>
      </c>
    </row>
    <row r="3128" spans="1:13">
      <c r="A3128">
        <v>3122</v>
      </c>
      <c r="B3128">
        <v>101965</v>
      </c>
      <c r="C3128" t="s">
        <v>6827</v>
      </c>
      <c r="D3128" t="s">
        <v>90</v>
      </c>
      <c r="E3128" t="s">
        <v>6828</v>
      </c>
      <c r="F3128" t="str">
        <f>"00404147"</f>
        <v>00404147</v>
      </c>
      <c r="G3128" t="s">
        <v>1890</v>
      </c>
      <c r="H3128" t="s">
        <v>3499</v>
      </c>
      <c r="I3128">
        <v>1672</v>
      </c>
      <c r="J3128" t="s">
        <v>21</v>
      </c>
      <c r="K3128">
        <v>0</v>
      </c>
      <c r="L3128" t="s">
        <v>83</v>
      </c>
      <c r="M3128">
        <v>1238</v>
      </c>
    </row>
    <row r="3129" spans="1:13">
      <c r="A3129">
        <v>3123</v>
      </c>
      <c r="B3129">
        <v>103446</v>
      </c>
      <c r="C3129" t="s">
        <v>6829</v>
      </c>
      <c r="D3129" t="s">
        <v>243</v>
      </c>
      <c r="E3129" t="s">
        <v>6830</v>
      </c>
      <c r="F3129" t="str">
        <f>"00196288"</f>
        <v>00196288</v>
      </c>
      <c r="G3129" t="s">
        <v>47</v>
      </c>
      <c r="H3129" t="s">
        <v>48</v>
      </c>
      <c r="I3129">
        <v>1623</v>
      </c>
      <c r="J3129" t="s">
        <v>21</v>
      </c>
      <c r="K3129">
        <v>0</v>
      </c>
      <c r="L3129" t="s">
        <v>35</v>
      </c>
      <c r="M3129">
        <v>900</v>
      </c>
    </row>
    <row r="3130" spans="1:13">
      <c r="A3130">
        <v>3124</v>
      </c>
      <c r="B3130">
        <v>110476</v>
      </c>
      <c r="C3130" t="s">
        <v>6831</v>
      </c>
      <c r="D3130" t="s">
        <v>105</v>
      </c>
      <c r="E3130" t="s">
        <v>6832</v>
      </c>
      <c r="F3130" t="str">
        <f>"00408455"</f>
        <v>00408455</v>
      </c>
      <c r="G3130" t="s">
        <v>527</v>
      </c>
      <c r="H3130" t="s">
        <v>3043</v>
      </c>
      <c r="I3130">
        <v>1341</v>
      </c>
      <c r="J3130" t="s">
        <v>21</v>
      </c>
      <c r="K3130">
        <v>0</v>
      </c>
      <c r="M3130">
        <v>1428</v>
      </c>
    </row>
    <row r="3131" spans="1:13">
      <c r="A3131">
        <v>3125</v>
      </c>
      <c r="B3131">
        <v>112904</v>
      </c>
      <c r="C3131" t="s">
        <v>6833</v>
      </c>
      <c r="D3131" t="s">
        <v>905</v>
      </c>
      <c r="E3131" t="s">
        <v>6834</v>
      </c>
      <c r="F3131" t="str">
        <f>"00374309"</f>
        <v>00374309</v>
      </c>
      <c r="G3131" t="s">
        <v>47</v>
      </c>
      <c r="H3131" t="s">
        <v>48</v>
      </c>
      <c r="I3131">
        <v>1623</v>
      </c>
      <c r="J3131" t="s">
        <v>21</v>
      </c>
      <c r="K3131">
        <v>0</v>
      </c>
      <c r="M3131">
        <v>1375</v>
      </c>
    </row>
    <row r="3132" spans="1:13">
      <c r="A3132">
        <v>3126</v>
      </c>
      <c r="B3132">
        <v>54462</v>
      </c>
      <c r="C3132" t="s">
        <v>6835</v>
      </c>
      <c r="D3132" t="s">
        <v>139</v>
      </c>
      <c r="E3132" t="s">
        <v>6836</v>
      </c>
      <c r="F3132" t="str">
        <f>"00275878"</f>
        <v>00275878</v>
      </c>
      <c r="G3132" t="s">
        <v>107</v>
      </c>
      <c r="H3132" t="s">
        <v>20</v>
      </c>
      <c r="I3132">
        <v>1472</v>
      </c>
      <c r="J3132" t="s">
        <v>21</v>
      </c>
      <c r="K3132">
        <v>0</v>
      </c>
      <c r="L3132" t="s">
        <v>35</v>
      </c>
      <c r="M3132">
        <v>936</v>
      </c>
    </row>
    <row r="3133" spans="1:13">
      <c r="A3133">
        <v>3127</v>
      </c>
      <c r="B3133">
        <v>110043</v>
      </c>
      <c r="C3133" t="s">
        <v>6837</v>
      </c>
      <c r="D3133" t="s">
        <v>94</v>
      </c>
      <c r="E3133" t="s">
        <v>6838</v>
      </c>
      <c r="F3133" t="str">
        <f>"00415536"</f>
        <v>00415536</v>
      </c>
      <c r="G3133" t="s">
        <v>278</v>
      </c>
      <c r="H3133" t="s">
        <v>137</v>
      </c>
      <c r="I3133">
        <v>1605</v>
      </c>
      <c r="J3133" t="s">
        <v>21</v>
      </c>
      <c r="K3133">
        <v>0</v>
      </c>
      <c r="M3133">
        <v>1438</v>
      </c>
    </row>
    <row r="3134" spans="1:13">
      <c r="A3134">
        <v>3128</v>
      </c>
      <c r="B3134">
        <v>103338</v>
      </c>
      <c r="C3134" t="s">
        <v>6839</v>
      </c>
      <c r="D3134" t="s">
        <v>213</v>
      </c>
      <c r="E3134" t="s">
        <v>6840</v>
      </c>
      <c r="F3134" t="str">
        <f>"00253464"</f>
        <v>00253464</v>
      </c>
      <c r="G3134" t="s">
        <v>226</v>
      </c>
      <c r="H3134" t="s">
        <v>20</v>
      </c>
      <c r="I3134">
        <v>1510</v>
      </c>
      <c r="J3134" t="s">
        <v>21</v>
      </c>
      <c r="K3134">
        <v>0</v>
      </c>
      <c r="L3134" t="s">
        <v>59</v>
      </c>
      <c r="M3134">
        <v>903</v>
      </c>
    </row>
    <row r="3135" spans="1:13">
      <c r="A3135">
        <v>3129</v>
      </c>
      <c r="B3135">
        <v>65226</v>
      </c>
      <c r="C3135" t="s">
        <v>6841</v>
      </c>
      <c r="D3135" t="s">
        <v>153</v>
      </c>
      <c r="E3135" t="s">
        <v>6842</v>
      </c>
      <c r="F3135" t="str">
        <f>"00050299"</f>
        <v>00050299</v>
      </c>
      <c r="G3135" t="s">
        <v>856</v>
      </c>
      <c r="H3135" t="s">
        <v>366</v>
      </c>
      <c r="I3135">
        <v>1706</v>
      </c>
      <c r="J3135" t="s">
        <v>21</v>
      </c>
      <c r="K3135">
        <v>0</v>
      </c>
      <c r="L3135" t="s">
        <v>35</v>
      </c>
      <c r="M3135">
        <v>900</v>
      </c>
    </row>
    <row r="3136" spans="1:13">
      <c r="A3136">
        <v>3130</v>
      </c>
      <c r="B3136">
        <v>68872</v>
      </c>
      <c r="C3136" t="s">
        <v>6843</v>
      </c>
      <c r="D3136" t="s">
        <v>121</v>
      </c>
      <c r="E3136" t="s">
        <v>6844</v>
      </c>
      <c r="F3136" t="str">
        <f>"201511009959"</f>
        <v>201511009959</v>
      </c>
      <c r="G3136" t="s">
        <v>107</v>
      </c>
      <c r="H3136" t="s">
        <v>20</v>
      </c>
      <c r="I3136">
        <v>1472</v>
      </c>
      <c r="J3136" t="s">
        <v>21</v>
      </c>
      <c r="K3136">
        <v>0</v>
      </c>
      <c r="L3136" t="s">
        <v>35</v>
      </c>
      <c r="M3136">
        <v>908</v>
      </c>
    </row>
    <row r="3137" spans="1:13">
      <c r="A3137">
        <v>3131</v>
      </c>
      <c r="B3137">
        <v>99794</v>
      </c>
      <c r="C3137" t="s">
        <v>6845</v>
      </c>
      <c r="D3137" t="s">
        <v>105</v>
      </c>
      <c r="E3137" t="s">
        <v>6846</v>
      </c>
      <c r="F3137" t="str">
        <f>"00387966"</f>
        <v>00387966</v>
      </c>
      <c r="G3137" t="s">
        <v>4439</v>
      </c>
      <c r="H3137" t="s">
        <v>20</v>
      </c>
      <c r="I3137">
        <v>1457</v>
      </c>
      <c r="J3137" t="s">
        <v>21</v>
      </c>
      <c r="K3137">
        <v>0</v>
      </c>
      <c r="M3137">
        <v>1688</v>
      </c>
    </row>
    <row r="3138" spans="1:13">
      <c r="A3138">
        <v>3132</v>
      </c>
      <c r="B3138">
        <v>82041</v>
      </c>
      <c r="C3138" t="s">
        <v>6847</v>
      </c>
      <c r="D3138" t="s">
        <v>90</v>
      </c>
      <c r="E3138" t="s">
        <v>6848</v>
      </c>
      <c r="F3138" t="str">
        <f>"00045435"</f>
        <v>00045435</v>
      </c>
      <c r="G3138" t="s">
        <v>4452</v>
      </c>
      <c r="H3138" t="s">
        <v>274</v>
      </c>
      <c r="I3138">
        <v>1393</v>
      </c>
      <c r="J3138" t="s">
        <v>21</v>
      </c>
      <c r="K3138">
        <v>0</v>
      </c>
      <c r="M3138">
        <v>1853</v>
      </c>
    </row>
    <row r="3139" spans="1:13">
      <c r="A3139">
        <v>3133</v>
      </c>
      <c r="B3139">
        <v>114140</v>
      </c>
      <c r="C3139" t="s">
        <v>6849</v>
      </c>
      <c r="D3139" t="s">
        <v>276</v>
      </c>
      <c r="E3139" t="s">
        <v>6850</v>
      </c>
      <c r="F3139" t="str">
        <f>"00417871"</f>
        <v>00417871</v>
      </c>
      <c r="G3139" t="s">
        <v>125</v>
      </c>
      <c r="H3139" t="s">
        <v>20</v>
      </c>
      <c r="I3139">
        <v>1507</v>
      </c>
      <c r="J3139" t="s">
        <v>21</v>
      </c>
      <c r="K3139">
        <v>0</v>
      </c>
      <c r="L3139" t="s">
        <v>59</v>
      </c>
      <c r="M3139">
        <v>1187</v>
      </c>
    </row>
    <row r="3140" spans="1:13">
      <c r="A3140">
        <v>3134</v>
      </c>
      <c r="B3140">
        <v>71867</v>
      </c>
      <c r="C3140" t="s">
        <v>6851</v>
      </c>
      <c r="D3140" t="s">
        <v>180</v>
      </c>
      <c r="E3140" t="s">
        <v>6852</v>
      </c>
      <c r="F3140" t="str">
        <f>"00369572"</f>
        <v>00369572</v>
      </c>
      <c r="G3140" t="s">
        <v>107</v>
      </c>
      <c r="H3140" t="s">
        <v>20</v>
      </c>
      <c r="I3140">
        <v>1472</v>
      </c>
      <c r="J3140" t="s">
        <v>21</v>
      </c>
      <c r="K3140">
        <v>0</v>
      </c>
      <c r="L3140" t="s">
        <v>35</v>
      </c>
      <c r="M3140">
        <v>908</v>
      </c>
    </row>
    <row r="3141" spans="1:13">
      <c r="A3141">
        <v>3135</v>
      </c>
      <c r="B3141">
        <v>98608</v>
      </c>
      <c r="C3141" t="s">
        <v>6853</v>
      </c>
      <c r="D3141" t="s">
        <v>2823</v>
      </c>
      <c r="E3141" t="s">
        <v>6854</v>
      </c>
      <c r="F3141" t="str">
        <f>"00359724"</f>
        <v>00359724</v>
      </c>
      <c r="G3141" t="s">
        <v>125</v>
      </c>
      <c r="H3141" t="s">
        <v>20</v>
      </c>
      <c r="I3141">
        <v>1507</v>
      </c>
      <c r="J3141" t="s">
        <v>21</v>
      </c>
      <c r="K3141">
        <v>0</v>
      </c>
      <c r="M3141">
        <v>1438</v>
      </c>
    </row>
    <row r="3142" spans="1:13">
      <c r="A3142">
        <v>3136</v>
      </c>
      <c r="B3142">
        <v>76522</v>
      </c>
      <c r="C3142" t="s">
        <v>6855</v>
      </c>
      <c r="D3142" t="s">
        <v>80</v>
      </c>
      <c r="E3142" t="s">
        <v>6856</v>
      </c>
      <c r="F3142" t="str">
        <f>"201511015707"</f>
        <v>201511015707</v>
      </c>
      <c r="G3142" t="s">
        <v>125</v>
      </c>
      <c r="H3142" t="s">
        <v>274</v>
      </c>
      <c r="I3142">
        <v>1386</v>
      </c>
      <c r="J3142" t="s">
        <v>21</v>
      </c>
      <c r="K3142">
        <v>0</v>
      </c>
      <c r="M3142">
        <v>1528</v>
      </c>
    </row>
    <row r="3143" spans="1:13">
      <c r="A3143">
        <v>3137</v>
      </c>
      <c r="B3143">
        <v>102151</v>
      </c>
      <c r="C3143" t="s">
        <v>6857</v>
      </c>
      <c r="D3143" t="s">
        <v>711</v>
      </c>
      <c r="E3143" t="s">
        <v>6858</v>
      </c>
      <c r="F3143" t="str">
        <f>"00037520"</f>
        <v>00037520</v>
      </c>
      <c r="G3143" t="s">
        <v>125</v>
      </c>
      <c r="H3143" t="s">
        <v>20</v>
      </c>
      <c r="I3143">
        <v>1507</v>
      </c>
      <c r="J3143" t="s">
        <v>21</v>
      </c>
      <c r="K3143">
        <v>0</v>
      </c>
      <c r="L3143" t="s">
        <v>35</v>
      </c>
      <c r="M3143">
        <v>1004</v>
      </c>
    </row>
    <row r="3144" spans="1:13">
      <c r="A3144">
        <v>3138</v>
      </c>
      <c r="B3144">
        <v>103866</v>
      </c>
      <c r="C3144" t="s">
        <v>6859</v>
      </c>
      <c r="D3144" t="s">
        <v>121</v>
      </c>
      <c r="E3144" t="s">
        <v>6860</v>
      </c>
      <c r="F3144" t="str">
        <f>"00026983"</f>
        <v>00026983</v>
      </c>
      <c r="G3144" t="s">
        <v>531</v>
      </c>
      <c r="H3144" t="s">
        <v>20</v>
      </c>
      <c r="I3144">
        <v>1445</v>
      </c>
      <c r="J3144" t="s">
        <v>21</v>
      </c>
      <c r="K3144">
        <v>0</v>
      </c>
      <c r="M3144">
        <v>1628</v>
      </c>
    </row>
    <row r="3145" spans="1:13">
      <c r="A3145">
        <v>3139</v>
      </c>
      <c r="B3145">
        <v>111801</v>
      </c>
      <c r="C3145" t="s">
        <v>6861</v>
      </c>
      <c r="D3145" t="s">
        <v>1267</v>
      </c>
      <c r="E3145" t="s">
        <v>6862</v>
      </c>
      <c r="F3145" t="str">
        <f>"00410941"</f>
        <v>00410941</v>
      </c>
      <c r="G3145" t="s">
        <v>215</v>
      </c>
      <c r="H3145" t="s">
        <v>216</v>
      </c>
      <c r="I3145">
        <v>1708</v>
      </c>
      <c r="J3145" t="s">
        <v>21</v>
      </c>
      <c r="K3145">
        <v>6</v>
      </c>
      <c r="M3145">
        <v>1288</v>
      </c>
    </row>
    <row r="3146" spans="1:13">
      <c r="A3146">
        <v>3140</v>
      </c>
      <c r="B3146">
        <v>82773</v>
      </c>
      <c r="C3146" t="s">
        <v>6863</v>
      </c>
      <c r="D3146" t="s">
        <v>399</v>
      </c>
      <c r="E3146" t="s">
        <v>6864</v>
      </c>
      <c r="F3146" t="str">
        <f>"00307783"</f>
        <v>00307783</v>
      </c>
      <c r="G3146" t="s">
        <v>258</v>
      </c>
      <c r="H3146" t="s">
        <v>20</v>
      </c>
      <c r="I3146">
        <v>1484</v>
      </c>
      <c r="J3146" t="s">
        <v>21</v>
      </c>
      <c r="K3146">
        <v>0</v>
      </c>
      <c r="L3146" t="s">
        <v>401</v>
      </c>
      <c r="M3146">
        <v>1228</v>
      </c>
    </row>
    <row r="3147" spans="1:13">
      <c r="A3147">
        <v>3141</v>
      </c>
      <c r="B3147">
        <v>94642</v>
      </c>
      <c r="C3147" t="s">
        <v>6865</v>
      </c>
      <c r="D3147" t="s">
        <v>180</v>
      </c>
      <c r="E3147" t="s">
        <v>6866</v>
      </c>
      <c r="F3147" t="str">
        <f>"00040245"</f>
        <v>00040245</v>
      </c>
      <c r="G3147" t="s">
        <v>2025</v>
      </c>
      <c r="H3147" t="s">
        <v>20</v>
      </c>
      <c r="I3147">
        <v>1570</v>
      </c>
      <c r="J3147" t="s">
        <v>21</v>
      </c>
      <c r="K3147">
        <v>6</v>
      </c>
      <c r="M3147">
        <v>1638</v>
      </c>
    </row>
    <row r="3148" spans="1:13">
      <c r="A3148">
        <v>3142</v>
      </c>
      <c r="B3148">
        <v>68621</v>
      </c>
      <c r="C3148" t="s">
        <v>6867</v>
      </c>
      <c r="D3148" t="s">
        <v>243</v>
      </c>
      <c r="E3148" t="s">
        <v>6868</v>
      </c>
      <c r="F3148" t="str">
        <f>"00344378"</f>
        <v>00344378</v>
      </c>
      <c r="G3148" t="s">
        <v>5467</v>
      </c>
      <c r="H3148" t="s">
        <v>535</v>
      </c>
      <c r="I3148">
        <v>1663</v>
      </c>
      <c r="J3148" t="s">
        <v>21</v>
      </c>
      <c r="K3148">
        <v>0</v>
      </c>
      <c r="M3148">
        <v>1378</v>
      </c>
    </row>
    <row r="3149" spans="1:13">
      <c r="A3149">
        <v>3143</v>
      </c>
      <c r="B3149">
        <v>88159</v>
      </c>
      <c r="C3149" t="s">
        <v>6869</v>
      </c>
      <c r="D3149" t="s">
        <v>180</v>
      </c>
      <c r="E3149" t="s">
        <v>6870</v>
      </c>
      <c r="F3149" t="str">
        <f>"00398506"</f>
        <v>00398506</v>
      </c>
      <c r="G3149" t="s">
        <v>365</v>
      </c>
      <c r="H3149" t="s">
        <v>366</v>
      </c>
      <c r="I3149">
        <v>1692</v>
      </c>
      <c r="J3149" t="s">
        <v>21</v>
      </c>
      <c r="K3149">
        <v>0</v>
      </c>
      <c r="M3149">
        <v>1448</v>
      </c>
    </row>
    <row r="3150" spans="1:13">
      <c r="A3150">
        <v>3144</v>
      </c>
      <c r="B3150">
        <v>94816</v>
      </c>
      <c r="C3150" t="s">
        <v>6871</v>
      </c>
      <c r="D3150" t="s">
        <v>218</v>
      </c>
      <c r="E3150" t="s">
        <v>6872</v>
      </c>
      <c r="F3150" t="str">
        <f>"00399364"</f>
        <v>00399364</v>
      </c>
      <c r="G3150" t="s">
        <v>258</v>
      </c>
      <c r="H3150" t="s">
        <v>20</v>
      </c>
      <c r="I3150">
        <v>1484</v>
      </c>
      <c r="J3150" t="s">
        <v>21</v>
      </c>
      <c r="K3150">
        <v>0</v>
      </c>
      <c r="L3150" t="s">
        <v>35</v>
      </c>
      <c r="M3150">
        <v>1000</v>
      </c>
    </row>
    <row r="3151" spans="1:13">
      <c r="A3151">
        <v>3145</v>
      </c>
      <c r="B3151">
        <v>84841</v>
      </c>
      <c r="C3151" t="s">
        <v>6873</v>
      </c>
      <c r="D3151" t="s">
        <v>6874</v>
      </c>
      <c r="E3151" t="s">
        <v>6875</v>
      </c>
      <c r="F3151" t="str">
        <f>"00395235"</f>
        <v>00395235</v>
      </c>
      <c r="G3151" t="s">
        <v>278</v>
      </c>
      <c r="H3151" t="s">
        <v>137</v>
      </c>
      <c r="I3151">
        <v>1605</v>
      </c>
      <c r="J3151" t="s">
        <v>21</v>
      </c>
      <c r="K3151">
        <v>0</v>
      </c>
      <c r="M3151">
        <v>1588</v>
      </c>
    </row>
    <row r="3152" spans="1:13">
      <c r="A3152">
        <v>3146</v>
      </c>
      <c r="B3152">
        <v>61251</v>
      </c>
      <c r="C3152" t="s">
        <v>6876</v>
      </c>
      <c r="D3152" t="s">
        <v>105</v>
      </c>
      <c r="E3152" t="s">
        <v>6877</v>
      </c>
      <c r="F3152" t="str">
        <f>"201511018598"</f>
        <v>201511018598</v>
      </c>
      <c r="G3152" t="s">
        <v>107</v>
      </c>
      <c r="H3152" t="s">
        <v>20</v>
      </c>
      <c r="I3152">
        <v>1472</v>
      </c>
      <c r="J3152" t="s">
        <v>21</v>
      </c>
      <c r="K3152">
        <v>0</v>
      </c>
      <c r="L3152" t="s">
        <v>35</v>
      </c>
      <c r="M3152">
        <v>989</v>
      </c>
    </row>
    <row r="3153" spans="1:13">
      <c r="A3153">
        <v>3147</v>
      </c>
      <c r="B3153">
        <v>58012</v>
      </c>
      <c r="C3153" t="s">
        <v>6878</v>
      </c>
      <c r="D3153" t="s">
        <v>94</v>
      </c>
      <c r="E3153" t="s">
        <v>6879</v>
      </c>
      <c r="F3153" t="str">
        <f>"00270107"</f>
        <v>00270107</v>
      </c>
      <c r="G3153" t="s">
        <v>107</v>
      </c>
      <c r="H3153" t="s">
        <v>20</v>
      </c>
      <c r="I3153">
        <v>1472</v>
      </c>
      <c r="J3153" t="s">
        <v>21</v>
      </c>
      <c r="K3153">
        <v>0</v>
      </c>
      <c r="L3153" t="s">
        <v>35</v>
      </c>
      <c r="M3153">
        <v>1008</v>
      </c>
    </row>
    <row r="3154" spans="1:13">
      <c r="A3154">
        <v>3148</v>
      </c>
      <c r="B3154">
        <v>98793</v>
      </c>
      <c r="C3154" t="s">
        <v>6880</v>
      </c>
      <c r="D3154" t="s">
        <v>334</v>
      </c>
      <c r="E3154" t="s">
        <v>6881</v>
      </c>
      <c r="F3154" t="str">
        <f>"201511020672"</f>
        <v>201511020672</v>
      </c>
      <c r="G3154" t="s">
        <v>733</v>
      </c>
      <c r="H3154" t="s">
        <v>734</v>
      </c>
      <c r="I3154">
        <v>1596</v>
      </c>
      <c r="J3154" t="s">
        <v>21</v>
      </c>
      <c r="K3154">
        <v>0</v>
      </c>
      <c r="M3154">
        <v>1428</v>
      </c>
    </row>
    <row r="3155" spans="1:13">
      <c r="A3155">
        <v>3149</v>
      </c>
      <c r="B3155">
        <v>84753</v>
      </c>
      <c r="C3155" t="s">
        <v>6882</v>
      </c>
      <c r="D3155" t="s">
        <v>80</v>
      </c>
      <c r="E3155" t="s">
        <v>6883</v>
      </c>
      <c r="F3155" t="str">
        <f>"00384694"</f>
        <v>00384694</v>
      </c>
      <c r="G3155" t="s">
        <v>371</v>
      </c>
      <c r="H3155" t="s">
        <v>20</v>
      </c>
      <c r="I3155">
        <v>1526</v>
      </c>
      <c r="J3155" t="s">
        <v>21</v>
      </c>
      <c r="K3155">
        <v>6</v>
      </c>
      <c r="L3155" t="s">
        <v>35</v>
      </c>
      <c r="M3155">
        <v>608</v>
      </c>
    </row>
    <row r="3156" spans="1:13">
      <c r="A3156">
        <v>3150</v>
      </c>
      <c r="B3156">
        <v>68410</v>
      </c>
      <c r="C3156" t="s">
        <v>6884</v>
      </c>
      <c r="D3156" t="s">
        <v>566</v>
      </c>
      <c r="E3156" t="s">
        <v>6885</v>
      </c>
      <c r="F3156" t="str">
        <f>"00359385"</f>
        <v>00359385</v>
      </c>
      <c r="G3156" t="s">
        <v>583</v>
      </c>
      <c r="H3156" t="s">
        <v>137</v>
      </c>
      <c r="I3156">
        <v>1601</v>
      </c>
      <c r="J3156" t="s">
        <v>21</v>
      </c>
      <c r="K3156">
        <v>0</v>
      </c>
      <c r="M3156">
        <v>1628</v>
      </c>
    </row>
    <row r="3157" spans="1:13">
      <c r="A3157">
        <v>3151</v>
      </c>
      <c r="B3157">
        <v>81275</v>
      </c>
      <c r="C3157" t="s">
        <v>6886</v>
      </c>
      <c r="D3157" t="s">
        <v>109</v>
      </c>
      <c r="E3157" t="s">
        <v>6887</v>
      </c>
      <c r="F3157" t="str">
        <f>"00398008"</f>
        <v>00398008</v>
      </c>
      <c r="G3157" t="s">
        <v>3237</v>
      </c>
      <c r="H3157" t="s">
        <v>20</v>
      </c>
      <c r="I3157">
        <v>1515</v>
      </c>
      <c r="J3157" t="s">
        <v>21</v>
      </c>
      <c r="K3157">
        <v>6</v>
      </c>
      <c r="M3157">
        <v>1348</v>
      </c>
    </row>
    <row r="3158" spans="1:13">
      <c r="A3158">
        <v>3152</v>
      </c>
      <c r="B3158">
        <v>105630</v>
      </c>
      <c r="C3158" t="s">
        <v>6888</v>
      </c>
      <c r="D3158" t="s">
        <v>105</v>
      </c>
      <c r="E3158" t="s">
        <v>6889</v>
      </c>
      <c r="F3158" t="str">
        <f>"00068702"</f>
        <v>00068702</v>
      </c>
      <c r="G3158" t="s">
        <v>718</v>
      </c>
      <c r="H3158" t="s">
        <v>48</v>
      </c>
      <c r="I3158">
        <v>1625</v>
      </c>
      <c r="J3158" t="s">
        <v>21</v>
      </c>
      <c r="K3158">
        <v>0</v>
      </c>
      <c r="M3158">
        <v>1498</v>
      </c>
    </row>
    <row r="3159" spans="1:13">
      <c r="A3159">
        <v>3153</v>
      </c>
      <c r="B3159">
        <v>47369</v>
      </c>
      <c r="C3159" t="s">
        <v>6890</v>
      </c>
      <c r="D3159" t="s">
        <v>1232</v>
      </c>
      <c r="E3159" t="s">
        <v>6891</v>
      </c>
      <c r="F3159" t="str">
        <f>"00350820"</f>
        <v>00350820</v>
      </c>
      <c r="G3159" t="s">
        <v>211</v>
      </c>
      <c r="H3159" t="s">
        <v>48</v>
      </c>
      <c r="I3159">
        <v>1628</v>
      </c>
      <c r="J3159" t="s">
        <v>21</v>
      </c>
      <c r="K3159">
        <v>0</v>
      </c>
      <c r="L3159" t="s">
        <v>59</v>
      </c>
      <c r="M3159">
        <v>1206</v>
      </c>
    </row>
    <row r="3160" spans="1:13">
      <c r="A3160">
        <v>3154</v>
      </c>
      <c r="B3160">
        <v>75036</v>
      </c>
      <c r="C3160" t="s">
        <v>6892</v>
      </c>
      <c r="D3160" t="s">
        <v>105</v>
      </c>
      <c r="E3160" t="s">
        <v>6893</v>
      </c>
      <c r="F3160" t="str">
        <f>"00390801"</f>
        <v>00390801</v>
      </c>
      <c r="G3160" t="s">
        <v>2817</v>
      </c>
      <c r="H3160" t="s">
        <v>20</v>
      </c>
      <c r="I3160">
        <v>1493</v>
      </c>
      <c r="J3160" t="s">
        <v>21</v>
      </c>
      <c r="K3160">
        <v>0</v>
      </c>
      <c r="M3160">
        <v>1360</v>
      </c>
    </row>
    <row r="3161" spans="1:13">
      <c r="A3161">
        <v>3155</v>
      </c>
      <c r="B3161">
        <v>68027</v>
      </c>
      <c r="C3161" t="s">
        <v>6894</v>
      </c>
      <c r="D3161" t="s">
        <v>905</v>
      </c>
      <c r="E3161" t="s">
        <v>6895</v>
      </c>
      <c r="F3161" t="str">
        <f>"00263545"</f>
        <v>00263545</v>
      </c>
      <c r="G3161" t="s">
        <v>107</v>
      </c>
      <c r="H3161" t="s">
        <v>20</v>
      </c>
      <c r="I3161">
        <v>1472</v>
      </c>
      <c r="J3161" t="s">
        <v>21</v>
      </c>
      <c r="K3161">
        <v>0</v>
      </c>
      <c r="L3161" t="s">
        <v>35</v>
      </c>
      <c r="M3161">
        <v>1000</v>
      </c>
    </row>
    <row r="3162" spans="1:13">
      <c r="A3162">
        <v>3156</v>
      </c>
      <c r="B3162">
        <v>68618</v>
      </c>
      <c r="C3162" t="s">
        <v>6896</v>
      </c>
      <c r="D3162" t="s">
        <v>905</v>
      </c>
      <c r="E3162" t="s">
        <v>6897</v>
      </c>
      <c r="F3162" t="str">
        <f>"00092142"</f>
        <v>00092142</v>
      </c>
      <c r="G3162" t="s">
        <v>38</v>
      </c>
      <c r="H3162" t="s">
        <v>39</v>
      </c>
      <c r="I3162">
        <v>1634</v>
      </c>
      <c r="J3162" t="s">
        <v>21</v>
      </c>
      <c r="K3162">
        <v>6</v>
      </c>
      <c r="L3162" t="s">
        <v>59</v>
      </c>
      <c r="M3162">
        <v>438</v>
      </c>
    </row>
    <row r="3163" spans="1:13">
      <c r="A3163">
        <v>3157</v>
      </c>
      <c r="B3163">
        <v>46912</v>
      </c>
      <c r="C3163" t="s">
        <v>6898</v>
      </c>
      <c r="D3163" t="s">
        <v>80</v>
      </c>
      <c r="E3163" t="s">
        <v>6899</v>
      </c>
      <c r="F3163" t="str">
        <f>"00363932"</f>
        <v>00363932</v>
      </c>
      <c r="G3163" t="s">
        <v>387</v>
      </c>
      <c r="H3163" t="s">
        <v>234</v>
      </c>
      <c r="I3163">
        <v>1340</v>
      </c>
      <c r="J3163" t="s">
        <v>21</v>
      </c>
      <c r="K3163">
        <v>0</v>
      </c>
      <c r="L3163" t="s">
        <v>59</v>
      </c>
      <c r="M3163">
        <v>1354</v>
      </c>
    </row>
    <row r="3164" spans="1:13">
      <c r="A3164">
        <v>3158</v>
      </c>
      <c r="B3164">
        <v>70292</v>
      </c>
      <c r="C3164" t="s">
        <v>6900</v>
      </c>
      <c r="D3164" t="s">
        <v>288</v>
      </c>
      <c r="E3164" t="s">
        <v>6901</v>
      </c>
      <c r="F3164" t="str">
        <f>"00083316"</f>
        <v>00083316</v>
      </c>
      <c r="G3164" t="s">
        <v>147</v>
      </c>
      <c r="H3164" t="s">
        <v>20</v>
      </c>
      <c r="I3164">
        <v>1529</v>
      </c>
      <c r="J3164" t="s">
        <v>21</v>
      </c>
      <c r="K3164">
        <v>0</v>
      </c>
      <c r="L3164" t="s">
        <v>35</v>
      </c>
      <c r="M3164">
        <v>1072</v>
      </c>
    </row>
    <row r="3165" spans="1:13">
      <c r="A3165">
        <v>3159</v>
      </c>
      <c r="B3165">
        <v>99993</v>
      </c>
      <c r="C3165" t="s">
        <v>6902</v>
      </c>
      <c r="D3165" t="s">
        <v>105</v>
      </c>
      <c r="E3165" t="s">
        <v>6903</v>
      </c>
      <c r="F3165" t="str">
        <f>"00398122"</f>
        <v>00398122</v>
      </c>
      <c r="G3165" t="s">
        <v>87</v>
      </c>
      <c r="H3165" t="s">
        <v>1671</v>
      </c>
      <c r="I3165">
        <v>1716</v>
      </c>
      <c r="J3165" t="s">
        <v>21</v>
      </c>
      <c r="K3165">
        <v>0</v>
      </c>
      <c r="L3165" t="s">
        <v>35</v>
      </c>
      <c r="M3165">
        <v>1025</v>
      </c>
    </row>
    <row r="3166" spans="1:13">
      <c r="A3166">
        <v>3160</v>
      </c>
      <c r="B3166">
        <v>114669</v>
      </c>
      <c r="C3166" t="s">
        <v>6904</v>
      </c>
      <c r="D3166" t="s">
        <v>139</v>
      </c>
      <c r="E3166" t="s">
        <v>6905</v>
      </c>
      <c r="F3166" t="str">
        <f>"00255514"</f>
        <v>00255514</v>
      </c>
      <c r="G3166" t="s">
        <v>184</v>
      </c>
      <c r="H3166" t="s">
        <v>185</v>
      </c>
      <c r="I3166">
        <v>1595</v>
      </c>
      <c r="J3166" t="s">
        <v>21</v>
      </c>
      <c r="K3166">
        <v>0</v>
      </c>
      <c r="L3166" t="s">
        <v>35</v>
      </c>
      <c r="M3166">
        <v>1046</v>
      </c>
    </row>
    <row r="3167" spans="1:13">
      <c r="A3167">
        <v>3161</v>
      </c>
      <c r="B3167">
        <v>111364</v>
      </c>
      <c r="C3167" t="s">
        <v>6906</v>
      </c>
      <c r="D3167" t="s">
        <v>163</v>
      </c>
      <c r="E3167" t="s">
        <v>6907</v>
      </c>
      <c r="F3167" t="str">
        <f>"00394262"</f>
        <v>00394262</v>
      </c>
      <c r="G3167" t="s">
        <v>38</v>
      </c>
      <c r="H3167" t="s">
        <v>39</v>
      </c>
      <c r="I3167">
        <v>1634</v>
      </c>
      <c r="J3167" t="s">
        <v>21</v>
      </c>
      <c r="K3167">
        <v>6</v>
      </c>
      <c r="L3167" t="s">
        <v>59</v>
      </c>
      <c r="M3167">
        <v>710</v>
      </c>
    </row>
    <row r="3168" spans="1:13">
      <c r="A3168">
        <v>3162</v>
      </c>
      <c r="B3168">
        <v>87671</v>
      </c>
      <c r="C3168" t="s">
        <v>6908</v>
      </c>
      <c r="D3168" t="s">
        <v>563</v>
      </c>
      <c r="E3168" t="s">
        <v>6909</v>
      </c>
      <c r="F3168" t="str">
        <f>"00409622"</f>
        <v>00409622</v>
      </c>
      <c r="G3168" t="s">
        <v>1393</v>
      </c>
      <c r="H3168" t="s">
        <v>20</v>
      </c>
      <c r="I3168">
        <v>1498</v>
      </c>
      <c r="J3168" t="s">
        <v>21</v>
      </c>
      <c r="K3168">
        <v>0</v>
      </c>
      <c r="M3168">
        <v>1700</v>
      </c>
    </row>
    <row r="3169" spans="1:13">
      <c r="A3169">
        <v>3163</v>
      </c>
      <c r="B3169">
        <v>62517</v>
      </c>
      <c r="C3169" t="s">
        <v>6910</v>
      </c>
      <c r="D3169" t="s">
        <v>90</v>
      </c>
      <c r="E3169" t="s">
        <v>6911</v>
      </c>
      <c r="F3169" t="str">
        <f>"00361915"</f>
        <v>00361915</v>
      </c>
      <c r="G3169" t="s">
        <v>96</v>
      </c>
      <c r="H3169" t="s">
        <v>20</v>
      </c>
      <c r="I3169">
        <v>1474</v>
      </c>
      <c r="J3169" t="s">
        <v>21</v>
      </c>
      <c r="K3169">
        <v>0</v>
      </c>
      <c r="M3169">
        <v>1528</v>
      </c>
    </row>
    <row r="3170" spans="1:13">
      <c r="A3170">
        <v>3164</v>
      </c>
      <c r="B3170">
        <v>59264</v>
      </c>
      <c r="C3170" t="s">
        <v>6912</v>
      </c>
      <c r="D3170" t="s">
        <v>163</v>
      </c>
      <c r="E3170" t="s">
        <v>6913</v>
      </c>
      <c r="F3170" t="str">
        <f>"00377720"</f>
        <v>00377720</v>
      </c>
      <c r="G3170" t="s">
        <v>269</v>
      </c>
      <c r="H3170" t="s">
        <v>270</v>
      </c>
      <c r="I3170">
        <v>1587</v>
      </c>
      <c r="J3170" t="s">
        <v>21</v>
      </c>
      <c r="K3170">
        <v>0</v>
      </c>
      <c r="M3170">
        <v>1488</v>
      </c>
    </row>
    <row r="3171" spans="1:13">
      <c r="A3171">
        <v>3165</v>
      </c>
      <c r="B3171">
        <v>56759</v>
      </c>
      <c r="C3171" t="s">
        <v>6914</v>
      </c>
      <c r="D3171" t="s">
        <v>76</v>
      </c>
      <c r="E3171" t="s">
        <v>6915</v>
      </c>
      <c r="F3171" t="str">
        <f>"00369870"</f>
        <v>00369870</v>
      </c>
      <c r="G3171" t="s">
        <v>42</v>
      </c>
      <c r="H3171" t="s">
        <v>43</v>
      </c>
      <c r="I3171">
        <v>1712</v>
      </c>
      <c r="J3171" t="s">
        <v>21</v>
      </c>
      <c r="K3171">
        <v>0</v>
      </c>
      <c r="L3171" t="s">
        <v>35</v>
      </c>
      <c r="M3171">
        <v>972</v>
      </c>
    </row>
    <row r="3172" spans="1:13">
      <c r="A3172">
        <v>3166</v>
      </c>
      <c r="B3172">
        <v>52946</v>
      </c>
      <c r="C3172" t="s">
        <v>6916</v>
      </c>
      <c r="D3172" t="s">
        <v>198</v>
      </c>
      <c r="E3172" t="s">
        <v>6917</v>
      </c>
      <c r="F3172" t="str">
        <f>"00313053"</f>
        <v>00313053</v>
      </c>
      <c r="G3172" t="s">
        <v>365</v>
      </c>
      <c r="H3172" t="s">
        <v>366</v>
      </c>
      <c r="I3172">
        <v>1692</v>
      </c>
      <c r="J3172" t="s">
        <v>21</v>
      </c>
      <c r="K3172">
        <v>0</v>
      </c>
      <c r="L3172" t="s">
        <v>35</v>
      </c>
      <c r="M3172">
        <v>1000</v>
      </c>
    </row>
    <row r="3173" spans="1:13">
      <c r="A3173">
        <v>3167</v>
      </c>
      <c r="B3173">
        <v>91523</v>
      </c>
      <c r="C3173" t="s">
        <v>6918</v>
      </c>
      <c r="D3173" t="s">
        <v>163</v>
      </c>
      <c r="E3173" t="s">
        <v>6919</v>
      </c>
      <c r="F3173" t="str">
        <f>"00402703"</f>
        <v>00402703</v>
      </c>
      <c r="G3173" t="s">
        <v>167</v>
      </c>
      <c r="H3173" t="s">
        <v>20</v>
      </c>
      <c r="I3173">
        <v>1486</v>
      </c>
      <c r="J3173" t="s">
        <v>21</v>
      </c>
      <c r="K3173">
        <v>0</v>
      </c>
      <c r="M3173">
        <v>1900</v>
      </c>
    </row>
    <row r="3174" spans="1:13">
      <c r="A3174">
        <v>3168</v>
      </c>
      <c r="B3174">
        <v>53319</v>
      </c>
      <c r="C3174" t="s">
        <v>6920</v>
      </c>
      <c r="D3174" t="s">
        <v>6694</v>
      </c>
      <c r="E3174" t="s">
        <v>6921</v>
      </c>
      <c r="F3174" t="str">
        <f>"00249023"</f>
        <v>00249023</v>
      </c>
      <c r="G3174" t="s">
        <v>70</v>
      </c>
      <c r="H3174" t="s">
        <v>71</v>
      </c>
      <c r="I3174">
        <v>1702</v>
      </c>
      <c r="J3174" t="s">
        <v>21</v>
      </c>
      <c r="K3174">
        <v>0</v>
      </c>
      <c r="M3174">
        <v>1528</v>
      </c>
    </row>
    <row r="3175" spans="1:13">
      <c r="A3175">
        <v>3169</v>
      </c>
      <c r="B3175">
        <v>62647</v>
      </c>
      <c r="C3175" t="s">
        <v>6922</v>
      </c>
      <c r="D3175" t="s">
        <v>76</v>
      </c>
      <c r="E3175" t="s">
        <v>6923</v>
      </c>
      <c r="F3175" t="str">
        <f>"00284787"</f>
        <v>00284787</v>
      </c>
      <c r="G3175" t="s">
        <v>170</v>
      </c>
      <c r="H3175" t="s">
        <v>20</v>
      </c>
      <c r="I3175">
        <v>1412</v>
      </c>
      <c r="J3175" t="s">
        <v>21</v>
      </c>
      <c r="K3175">
        <v>0</v>
      </c>
      <c r="L3175" t="s">
        <v>35</v>
      </c>
      <c r="M3175">
        <v>900</v>
      </c>
    </row>
    <row r="3176" spans="1:13">
      <c r="A3176">
        <v>3170</v>
      </c>
      <c r="B3176">
        <v>101384</v>
      </c>
      <c r="C3176" t="s">
        <v>6924</v>
      </c>
      <c r="D3176" t="s">
        <v>80</v>
      </c>
      <c r="E3176" t="s">
        <v>6925</v>
      </c>
      <c r="F3176" t="str">
        <f>"201511017455"</f>
        <v>201511017455</v>
      </c>
      <c r="G3176" t="s">
        <v>1890</v>
      </c>
      <c r="H3176" t="s">
        <v>1891</v>
      </c>
      <c r="I3176">
        <v>1671</v>
      </c>
      <c r="J3176" t="s">
        <v>21</v>
      </c>
      <c r="K3176">
        <v>0</v>
      </c>
      <c r="M3176">
        <v>1878</v>
      </c>
    </row>
    <row r="3177" spans="1:13">
      <c r="A3177">
        <v>3171</v>
      </c>
      <c r="B3177">
        <v>65797</v>
      </c>
      <c r="C3177" t="s">
        <v>6926</v>
      </c>
      <c r="D3177" t="s">
        <v>391</v>
      </c>
      <c r="E3177" t="s">
        <v>6927</v>
      </c>
      <c r="F3177" t="str">
        <f>"00023626"</f>
        <v>00023626</v>
      </c>
      <c r="G3177" t="s">
        <v>230</v>
      </c>
      <c r="H3177" t="s">
        <v>20</v>
      </c>
      <c r="I3177">
        <v>1545</v>
      </c>
      <c r="J3177" t="s">
        <v>21</v>
      </c>
      <c r="K3177">
        <v>0</v>
      </c>
      <c r="L3177" t="s">
        <v>35</v>
      </c>
      <c r="M3177">
        <v>1008</v>
      </c>
    </row>
    <row r="3178" spans="1:13">
      <c r="A3178">
        <v>3172</v>
      </c>
      <c r="B3178">
        <v>64475</v>
      </c>
      <c r="C3178" t="s">
        <v>6928</v>
      </c>
      <c r="D3178" t="s">
        <v>121</v>
      </c>
      <c r="E3178" t="s">
        <v>6929</v>
      </c>
      <c r="F3178" t="str">
        <f>"00366101"</f>
        <v>00366101</v>
      </c>
      <c r="G3178" t="s">
        <v>87</v>
      </c>
      <c r="H3178" t="s">
        <v>20</v>
      </c>
      <c r="I3178">
        <v>1436</v>
      </c>
      <c r="J3178" t="s">
        <v>21</v>
      </c>
      <c r="K3178">
        <v>0</v>
      </c>
      <c r="L3178" t="s">
        <v>35</v>
      </c>
      <c r="M3178">
        <v>858</v>
      </c>
    </row>
    <row r="3179" spans="1:13">
      <c r="A3179">
        <v>3173</v>
      </c>
      <c r="B3179">
        <v>77074</v>
      </c>
      <c r="C3179" t="s">
        <v>6930</v>
      </c>
      <c r="D3179" t="s">
        <v>2350</v>
      </c>
      <c r="E3179" t="s">
        <v>6931</v>
      </c>
      <c r="F3179" t="str">
        <f>"201511015588"</f>
        <v>201511015588</v>
      </c>
      <c r="G3179" t="s">
        <v>107</v>
      </c>
      <c r="H3179" t="s">
        <v>20</v>
      </c>
      <c r="I3179">
        <v>1472</v>
      </c>
      <c r="J3179" t="s">
        <v>21</v>
      </c>
      <c r="K3179">
        <v>0</v>
      </c>
      <c r="M3179">
        <v>1528</v>
      </c>
    </row>
    <row r="3180" spans="1:13">
      <c r="A3180">
        <v>3174</v>
      </c>
      <c r="B3180">
        <v>80338</v>
      </c>
      <c r="C3180" t="s">
        <v>6932</v>
      </c>
      <c r="D3180" t="s">
        <v>700</v>
      </c>
      <c r="E3180" t="s">
        <v>6933</v>
      </c>
      <c r="F3180" t="str">
        <f>"00254512"</f>
        <v>00254512</v>
      </c>
      <c r="G3180" t="s">
        <v>380</v>
      </c>
      <c r="H3180" t="s">
        <v>20</v>
      </c>
      <c r="I3180">
        <v>1496</v>
      </c>
      <c r="J3180" t="s">
        <v>21</v>
      </c>
      <c r="K3180">
        <v>0</v>
      </c>
      <c r="L3180" t="s">
        <v>35</v>
      </c>
      <c r="M3180">
        <v>1258</v>
      </c>
    </row>
    <row r="3181" spans="1:13">
      <c r="A3181">
        <v>3175</v>
      </c>
      <c r="B3181">
        <v>67339</v>
      </c>
      <c r="C3181" t="s">
        <v>6934</v>
      </c>
      <c r="D3181" t="s">
        <v>80</v>
      </c>
      <c r="E3181" t="s">
        <v>6935</v>
      </c>
      <c r="F3181" t="str">
        <f>"00382546"</f>
        <v>00382546</v>
      </c>
      <c r="G3181" t="s">
        <v>178</v>
      </c>
      <c r="H3181" t="s">
        <v>20</v>
      </c>
      <c r="I3181">
        <v>1519</v>
      </c>
      <c r="J3181" t="s">
        <v>21</v>
      </c>
      <c r="K3181">
        <v>0</v>
      </c>
      <c r="L3181" t="s">
        <v>35</v>
      </c>
      <c r="M3181">
        <v>1200</v>
      </c>
    </row>
    <row r="3182" spans="1:13">
      <c r="A3182">
        <v>3176</v>
      </c>
      <c r="B3182">
        <v>79771</v>
      </c>
      <c r="C3182" t="s">
        <v>6936</v>
      </c>
      <c r="D3182" t="s">
        <v>80</v>
      </c>
      <c r="E3182" t="s">
        <v>6937</v>
      </c>
      <c r="F3182" t="str">
        <f>"00323959"</f>
        <v>00323959</v>
      </c>
      <c r="G3182" t="s">
        <v>111</v>
      </c>
      <c r="H3182" t="s">
        <v>48</v>
      </c>
      <c r="I3182">
        <v>1620</v>
      </c>
      <c r="J3182" t="s">
        <v>21</v>
      </c>
      <c r="K3182">
        <v>0</v>
      </c>
      <c r="L3182" t="s">
        <v>35</v>
      </c>
      <c r="M3182">
        <v>856</v>
      </c>
    </row>
    <row r="3183" spans="1:13">
      <c r="A3183">
        <v>3177</v>
      </c>
      <c r="B3183">
        <v>49490</v>
      </c>
      <c r="C3183" t="s">
        <v>6938</v>
      </c>
      <c r="D3183" t="s">
        <v>80</v>
      </c>
      <c r="E3183" t="s">
        <v>6939</v>
      </c>
      <c r="F3183" t="str">
        <f>"00358728"</f>
        <v>00358728</v>
      </c>
      <c r="G3183" t="s">
        <v>47</v>
      </c>
      <c r="H3183" t="s">
        <v>48</v>
      </c>
      <c r="I3183">
        <v>1623</v>
      </c>
      <c r="J3183" t="s">
        <v>21</v>
      </c>
      <c r="K3183">
        <v>0</v>
      </c>
      <c r="L3183" t="s">
        <v>35</v>
      </c>
      <c r="M3183">
        <v>908</v>
      </c>
    </row>
    <row r="3184" spans="1:13">
      <c r="A3184">
        <v>3178</v>
      </c>
      <c r="B3184">
        <v>117035</v>
      </c>
      <c r="C3184" t="s">
        <v>6940</v>
      </c>
      <c r="D3184" t="s">
        <v>598</v>
      </c>
      <c r="E3184" t="s">
        <v>6941</v>
      </c>
      <c r="F3184" t="str">
        <f>"00200412"</f>
        <v>00200412</v>
      </c>
      <c r="G3184" t="s">
        <v>325</v>
      </c>
      <c r="H3184" t="s">
        <v>326</v>
      </c>
      <c r="I3184">
        <v>1592</v>
      </c>
      <c r="J3184" t="s">
        <v>21</v>
      </c>
      <c r="K3184">
        <v>0</v>
      </c>
      <c r="L3184" t="s">
        <v>112</v>
      </c>
      <c r="M3184">
        <v>886</v>
      </c>
    </row>
    <row r="3185" spans="1:13">
      <c r="A3185">
        <v>3179</v>
      </c>
      <c r="B3185">
        <v>49055</v>
      </c>
      <c r="C3185" t="s">
        <v>6942</v>
      </c>
      <c r="D3185" t="s">
        <v>4233</v>
      </c>
      <c r="E3185" t="s">
        <v>6943</v>
      </c>
      <c r="F3185" t="str">
        <f>"00230902"</f>
        <v>00230902</v>
      </c>
      <c r="G3185" t="s">
        <v>325</v>
      </c>
      <c r="H3185" t="s">
        <v>326</v>
      </c>
      <c r="I3185">
        <v>1592</v>
      </c>
      <c r="J3185" t="s">
        <v>21</v>
      </c>
      <c r="K3185">
        <v>0</v>
      </c>
      <c r="L3185" t="s">
        <v>35</v>
      </c>
      <c r="M3185">
        <v>1208</v>
      </c>
    </row>
    <row r="3186" spans="1:13">
      <c r="A3186">
        <v>3180</v>
      </c>
      <c r="B3186">
        <v>49526</v>
      </c>
      <c r="C3186" t="s">
        <v>6944</v>
      </c>
      <c r="D3186" t="s">
        <v>180</v>
      </c>
      <c r="E3186" t="s">
        <v>6945</v>
      </c>
      <c r="F3186" t="str">
        <f>"200802009380"</f>
        <v>200802009380</v>
      </c>
      <c r="G3186" t="s">
        <v>683</v>
      </c>
      <c r="H3186" t="s">
        <v>535</v>
      </c>
      <c r="I3186">
        <v>1670</v>
      </c>
      <c r="J3186" t="s">
        <v>21</v>
      </c>
      <c r="K3186">
        <v>0</v>
      </c>
      <c r="L3186" t="s">
        <v>88</v>
      </c>
      <c r="M3186">
        <v>400</v>
      </c>
    </row>
    <row r="3187" spans="1:13">
      <c r="A3187">
        <v>3181</v>
      </c>
      <c r="B3187">
        <v>92521</v>
      </c>
      <c r="C3187" t="s">
        <v>6946</v>
      </c>
      <c r="D3187" t="s">
        <v>180</v>
      </c>
      <c r="E3187" t="s">
        <v>6947</v>
      </c>
      <c r="F3187" t="str">
        <f>"00359136"</f>
        <v>00359136</v>
      </c>
      <c r="G3187" t="s">
        <v>1995</v>
      </c>
      <c r="H3187" t="s">
        <v>20</v>
      </c>
      <c r="I3187">
        <v>1508</v>
      </c>
      <c r="J3187" t="s">
        <v>21</v>
      </c>
      <c r="K3187">
        <v>0</v>
      </c>
      <c r="M3187">
        <v>1428</v>
      </c>
    </row>
    <row r="3188" spans="1:13">
      <c r="A3188">
        <v>3182</v>
      </c>
      <c r="B3188">
        <v>98727</v>
      </c>
      <c r="C3188" t="s">
        <v>6948</v>
      </c>
      <c r="D3188" t="s">
        <v>243</v>
      </c>
      <c r="E3188" t="s">
        <v>6949</v>
      </c>
      <c r="F3188" t="str">
        <f>"201510004607"</f>
        <v>201510004607</v>
      </c>
      <c r="G3188" t="s">
        <v>230</v>
      </c>
      <c r="H3188" t="s">
        <v>20</v>
      </c>
      <c r="I3188">
        <v>1545</v>
      </c>
      <c r="J3188" t="s">
        <v>21</v>
      </c>
      <c r="K3188">
        <v>0</v>
      </c>
      <c r="M3188">
        <v>1728</v>
      </c>
    </row>
    <row r="3189" spans="1:13">
      <c r="A3189">
        <v>3183</v>
      </c>
      <c r="B3189">
        <v>52115</v>
      </c>
      <c r="C3189" t="s">
        <v>6950</v>
      </c>
      <c r="D3189" t="s">
        <v>209</v>
      </c>
      <c r="E3189" t="s">
        <v>6951</v>
      </c>
      <c r="F3189" t="str">
        <f>"00278672"</f>
        <v>00278672</v>
      </c>
      <c r="G3189" t="s">
        <v>834</v>
      </c>
      <c r="H3189" t="s">
        <v>20</v>
      </c>
      <c r="I3189">
        <v>1416</v>
      </c>
      <c r="J3189" t="s">
        <v>21</v>
      </c>
      <c r="K3189">
        <v>0</v>
      </c>
      <c r="L3189" t="s">
        <v>35</v>
      </c>
      <c r="M3189">
        <v>1100</v>
      </c>
    </row>
    <row r="3190" spans="1:13">
      <c r="A3190">
        <v>3184</v>
      </c>
      <c r="B3190">
        <v>73149</v>
      </c>
      <c r="C3190" t="s">
        <v>6952</v>
      </c>
      <c r="D3190" t="s">
        <v>105</v>
      </c>
      <c r="E3190" t="s">
        <v>6953</v>
      </c>
      <c r="F3190" t="str">
        <f>"00376741"</f>
        <v>00376741</v>
      </c>
      <c r="G3190" t="s">
        <v>892</v>
      </c>
      <c r="H3190" t="s">
        <v>20</v>
      </c>
      <c r="I3190">
        <v>1410</v>
      </c>
      <c r="J3190" t="s">
        <v>21</v>
      </c>
      <c r="K3190">
        <v>0</v>
      </c>
      <c r="L3190" t="s">
        <v>59</v>
      </c>
      <c r="M3190">
        <v>879</v>
      </c>
    </row>
    <row r="3191" spans="1:13">
      <c r="A3191">
        <v>3185</v>
      </c>
      <c r="B3191">
        <v>112924</v>
      </c>
      <c r="C3191" t="s">
        <v>6954</v>
      </c>
      <c r="D3191" t="s">
        <v>109</v>
      </c>
      <c r="E3191" t="s">
        <v>6955</v>
      </c>
      <c r="F3191" t="str">
        <f>"00380818"</f>
        <v>00380818</v>
      </c>
      <c r="G3191" t="s">
        <v>760</v>
      </c>
      <c r="H3191" t="s">
        <v>20</v>
      </c>
      <c r="I3191">
        <v>1432</v>
      </c>
      <c r="J3191" t="s">
        <v>21</v>
      </c>
      <c r="K3191">
        <v>0</v>
      </c>
      <c r="L3191" t="s">
        <v>35</v>
      </c>
      <c r="M3191">
        <v>1008</v>
      </c>
    </row>
    <row r="3192" spans="1:13">
      <c r="A3192">
        <v>3186</v>
      </c>
      <c r="B3192">
        <v>90876</v>
      </c>
      <c r="C3192" t="s">
        <v>6956</v>
      </c>
      <c r="D3192" t="s">
        <v>1385</v>
      </c>
      <c r="E3192" t="s">
        <v>6957</v>
      </c>
      <c r="F3192" t="str">
        <f>"00407022"</f>
        <v>00407022</v>
      </c>
      <c r="G3192" t="s">
        <v>47</v>
      </c>
      <c r="H3192" t="s">
        <v>48</v>
      </c>
      <c r="I3192">
        <v>1623</v>
      </c>
      <c r="J3192" t="s">
        <v>21</v>
      </c>
      <c r="K3192">
        <v>0</v>
      </c>
      <c r="L3192" t="s">
        <v>35</v>
      </c>
      <c r="M3192">
        <v>856</v>
      </c>
    </row>
    <row r="3193" spans="1:13">
      <c r="A3193">
        <v>3187</v>
      </c>
      <c r="B3193">
        <v>59348</v>
      </c>
      <c r="C3193" t="s">
        <v>6958</v>
      </c>
      <c r="D3193" t="s">
        <v>2823</v>
      </c>
      <c r="E3193" t="s">
        <v>6959</v>
      </c>
      <c r="F3193" t="str">
        <f>"00356457"</f>
        <v>00356457</v>
      </c>
      <c r="G3193" t="s">
        <v>211</v>
      </c>
      <c r="H3193" t="s">
        <v>20</v>
      </c>
      <c r="I3193">
        <v>1539</v>
      </c>
      <c r="J3193" t="s">
        <v>21</v>
      </c>
      <c r="K3193">
        <v>0</v>
      </c>
      <c r="M3193">
        <v>1654</v>
      </c>
    </row>
    <row r="3194" spans="1:13">
      <c r="A3194">
        <v>3188</v>
      </c>
      <c r="B3194">
        <v>61701</v>
      </c>
      <c r="C3194" t="s">
        <v>6960</v>
      </c>
      <c r="D3194" t="s">
        <v>130</v>
      </c>
      <c r="E3194" t="s">
        <v>6961</v>
      </c>
      <c r="F3194" t="str">
        <f>"201511014021"</f>
        <v>201511014021</v>
      </c>
      <c r="G3194" t="s">
        <v>87</v>
      </c>
      <c r="H3194" t="s">
        <v>20</v>
      </c>
      <c r="I3194">
        <v>1436</v>
      </c>
      <c r="J3194" t="s">
        <v>21</v>
      </c>
      <c r="K3194">
        <v>0</v>
      </c>
      <c r="L3194" t="s">
        <v>35</v>
      </c>
      <c r="M3194">
        <v>900</v>
      </c>
    </row>
    <row r="3195" spans="1:13">
      <c r="A3195">
        <v>3189</v>
      </c>
      <c r="B3195">
        <v>87071</v>
      </c>
      <c r="C3195" t="s">
        <v>6962</v>
      </c>
      <c r="D3195" t="s">
        <v>399</v>
      </c>
      <c r="E3195" t="s">
        <v>6963</v>
      </c>
      <c r="F3195" t="str">
        <f>"00369478"</f>
        <v>00369478</v>
      </c>
      <c r="G3195" t="s">
        <v>488</v>
      </c>
      <c r="H3195" t="s">
        <v>20</v>
      </c>
      <c r="I3195">
        <v>1482</v>
      </c>
      <c r="J3195" t="s">
        <v>21</v>
      </c>
      <c r="K3195">
        <v>0</v>
      </c>
      <c r="L3195" t="s">
        <v>401</v>
      </c>
      <c r="M3195">
        <v>1260</v>
      </c>
    </row>
    <row r="3196" spans="1:13">
      <c r="A3196">
        <v>3190</v>
      </c>
      <c r="B3196">
        <v>53872</v>
      </c>
      <c r="C3196" t="s">
        <v>6964</v>
      </c>
      <c r="D3196" t="s">
        <v>121</v>
      </c>
      <c r="E3196" t="s">
        <v>6965</v>
      </c>
      <c r="F3196" t="str">
        <f>"00265027"</f>
        <v>00265027</v>
      </c>
      <c r="G3196" t="s">
        <v>600</v>
      </c>
      <c r="H3196" t="s">
        <v>366</v>
      </c>
      <c r="I3196">
        <v>1694</v>
      </c>
      <c r="J3196" t="s">
        <v>21</v>
      </c>
      <c r="K3196">
        <v>0</v>
      </c>
      <c r="L3196" t="s">
        <v>59</v>
      </c>
      <c r="M3196">
        <v>998</v>
      </c>
    </row>
    <row r="3197" spans="1:13">
      <c r="A3197">
        <v>3191</v>
      </c>
      <c r="B3197">
        <v>101095</v>
      </c>
      <c r="C3197" t="s">
        <v>6966</v>
      </c>
      <c r="D3197" t="s">
        <v>243</v>
      </c>
      <c r="E3197" t="s">
        <v>6967</v>
      </c>
      <c r="F3197" t="str">
        <f>"201512004260"</f>
        <v>201512004260</v>
      </c>
      <c r="G3197" t="s">
        <v>834</v>
      </c>
      <c r="H3197" t="s">
        <v>20</v>
      </c>
      <c r="I3197">
        <v>1416</v>
      </c>
      <c r="J3197" t="s">
        <v>21</v>
      </c>
      <c r="K3197">
        <v>0</v>
      </c>
      <c r="L3197" t="s">
        <v>88</v>
      </c>
      <c r="M3197">
        <v>625</v>
      </c>
    </row>
    <row r="3198" spans="1:13">
      <c r="A3198">
        <v>3192</v>
      </c>
      <c r="B3198">
        <v>84739</v>
      </c>
      <c r="C3198" t="s">
        <v>6968</v>
      </c>
      <c r="D3198" t="s">
        <v>76</v>
      </c>
      <c r="E3198" t="s">
        <v>6969</v>
      </c>
      <c r="F3198" t="str">
        <f>"201402003385"</f>
        <v>201402003385</v>
      </c>
      <c r="G3198" t="s">
        <v>606</v>
      </c>
      <c r="H3198" t="s">
        <v>607</v>
      </c>
      <c r="I3198">
        <v>1343</v>
      </c>
      <c r="J3198" t="s">
        <v>21</v>
      </c>
      <c r="K3198">
        <v>0</v>
      </c>
      <c r="L3198" t="s">
        <v>59</v>
      </c>
      <c r="M3198">
        <v>1378</v>
      </c>
    </row>
    <row r="3199" spans="1:13">
      <c r="A3199">
        <v>3193</v>
      </c>
      <c r="B3199">
        <v>59866</v>
      </c>
      <c r="C3199" t="s">
        <v>6970</v>
      </c>
      <c r="D3199" t="s">
        <v>85</v>
      </c>
      <c r="E3199" t="s">
        <v>6971</v>
      </c>
      <c r="F3199" t="str">
        <f>"00376142"</f>
        <v>00376142</v>
      </c>
      <c r="G3199" t="s">
        <v>42</v>
      </c>
      <c r="H3199" t="s">
        <v>43</v>
      </c>
      <c r="I3199">
        <v>1712</v>
      </c>
      <c r="J3199" t="s">
        <v>21</v>
      </c>
      <c r="K3199">
        <v>0</v>
      </c>
      <c r="L3199" t="s">
        <v>88</v>
      </c>
      <c r="M3199">
        <v>675</v>
      </c>
    </row>
    <row r="3200" spans="1:13">
      <c r="A3200">
        <v>3194</v>
      </c>
      <c r="B3200">
        <v>65794</v>
      </c>
      <c r="C3200" t="s">
        <v>6972</v>
      </c>
      <c r="D3200" t="s">
        <v>6973</v>
      </c>
      <c r="E3200" t="s">
        <v>6974</v>
      </c>
      <c r="F3200" t="str">
        <f>"00349960"</f>
        <v>00349960</v>
      </c>
      <c r="G3200" t="s">
        <v>107</v>
      </c>
      <c r="H3200" t="s">
        <v>20</v>
      </c>
      <c r="I3200">
        <v>1472</v>
      </c>
      <c r="J3200" t="s">
        <v>21</v>
      </c>
      <c r="K3200">
        <v>0</v>
      </c>
      <c r="L3200" t="s">
        <v>35</v>
      </c>
      <c r="M3200">
        <v>908</v>
      </c>
    </row>
    <row r="3201" spans="1:13">
      <c r="A3201">
        <v>3195</v>
      </c>
      <c r="B3201">
        <v>78704</v>
      </c>
      <c r="C3201" t="s">
        <v>6975</v>
      </c>
      <c r="D3201" t="s">
        <v>117</v>
      </c>
      <c r="E3201" t="s">
        <v>6976</v>
      </c>
      <c r="F3201" t="str">
        <f>"00283698"</f>
        <v>00283698</v>
      </c>
      <c r="G3201" t="s">
        <v>258</v>
      </c>
      <c r="H3201" t="s">
        <v>20</v>
      </c>
      <c r="I3201">
        <v>1484</v>
      </c>
      <c r="J3201" t="s">
        <v>21</v>
      </c>
      <c r="K3201">
        <v>0</v>
      </c>
      <c r="L3201" t="s">
        <v>35</v>
      </c>
      <c r="M3201">
        <v>1100</v>
      </c>
    </row>
    <row r="3202" spans="1:13">
      <c r="A3202">
        <v>3196</v>
      </c>
      <c r="B3202">
        <v>70527</v>
      </c>
      <c r="C3202" t="s">
        <v>6977</v>
      </c>
      <c r="D3202" t="s">
        <v>76</v>
      </c>
      <c r="E3202" t="s">
        <v>6978</v>
      </c>
      <c r="F3202" t="str">
        <f>"00388703"</f>
        <v>00388703</v>
      </c>
      <c r="G3202" t="s">
        <v>125</v>
      </c>
      <c r="H3202" t="s">
        <v>20</v>
      </c>
      <c r="I3202">
        <v>1507</v>
      </c>
      <c r="J3202" t="s">
        <v>21</v>
      </c>
      <c r="K3202">
        <v>0</v>
      </c>
      <c r="M3202">
        <v>1408</v>
      </c>
    </row>
    <row r="3203" spans="1:13">
      <c r="A3203">
        <v>3197</v>
      </c>
      <c r="B3203">
        <v>79088</v>
      </c>
      <c r="C3203" t="s">
        <v>6979</v>
      </c>
      <c r="D3203" t="s">
        <v>205</v>
      </c>
      <c r="E3203" t="s">
        <v>6980</v>
      </c>
      <c r="F3203" t="str">
        <f>"201511021740"</f>
        <v>201511021740</v>
      </c>
      <c r="G3203" t="s">
        <v>892</v>
      </c>
      <c r="H3203" t="s">
        <v>20</v>
      </c>
      <c r="I3203">
        <v>1410</v>
      </c>
      <c r="J3203" t="s">
        <v>21</v>
      </c>
      <c r="K3203">
        <v>0</v>
      </c>
      <c r="M3203">
        <v>1383</v>
      </c>
    </row>
    <row r="3204" spans="1:13">
      <c r="A3204">
        <v>3198</v>
      </c>
      <c r="B3204">
        <v>99054</v>
      </c>
      <c r="C3204" t="s">
        <v>6981</v>
      </c>
      <c r="D3204" t="s">
        <v>726</v>
      </c>
      <c r="E3204" t="s">
        <v>6982</v>
      </c>
      <c r="F3204" t="str">
        <f>"00250822"</f>
        <v>00250822</v>
      </c>
      <c r="G3204" t="s">
        <v>6983</v>
      </c>
      <c r="H3204" t="s">
        <v>20</v>
      </c>
      <c r="I3204">
        <v>1528</v>
      </c>
      <c r="J3204" t="s">
        <v>21</v>
      </c>
      <c r="K3204">
        <v>7</v>
      </c>
      <c r="M3204">
        <v>1575</v>
      </c>
    </row>
    <row r="3205" spans="1:13">
      <c r="A3205">
        <v>3199</v>
      </c>
      <c r="B3205">
        <v>59248</v>
      </c>
      <c r="C3205" t="s">
        <v>6984</v>
      </c>
      <c r="D3205" t="s">
        <v>566</v>
      </c>
      <c r="E3205" t="s">
        <v>6985</v>
      </c>
      <c r="F3205" t="str">
        <f>"201511012052"</f>
        <v>201511012052</v>
      </c>
      <c r="G3205" t="s">
        <v>278</v>
      </c>
      <c r="H3205" t="s">
        <v>137</v>
      </c>
      <c r="I3205">
        <v>1605</v>
      </c>
      <c r="J3205" t="s">
        <v>21</v>
      </c>
      <c r="K3205">
        <v>0</v>
      </c>
      <c r="L3205" t="s">
        <v>35</v>
      </c>
      <c r="M3205">
        <v>991</v>
      </c>
    </row>
    <row r="3206" spans="1:13">
      <c r="A3206">
        <v>3200</v>
      </c>
      <c r="B3206">
        <v>85358</v>
      </c>
      <c r="C3206" t="s">
        <v>6986</v>
      </c>
      <c r="D3206" t="s">
        <v>80</v>
      </c>
      <c r="E3206" t="s">
        <v>6987</v>
      </c>
      <c r="F3206" t="str">
        <f>"00383614"</f>
        <v>00383614</v>
      </c>
      <c r="G3206" t="s">
        <v>856</v>
      </c>
      <c r="H3206" t="s">
        <v>366</v>
      </c>
      <c r="I3206">
        <v>1706</v>
      </c>
      <c r="J3206" t="s">
        <v>21</v>
      </c>
      <c r="K3206">
        <v>0</v>
      </c>
      <c r="M3206">
        <v>1403</v>
      </c>
    </row>
    <row r="3207" spans="1:13">
      <c r="A3207">
        <v>3201</v>
      </c>
      <c r="B3207">
        <v>97904</v>
      </c>
      <c r="C3207" t="s">
        <v>6988</v>
      </c>
      <c r="D3207" t="s">
        <v>334</v>
      </c>
      <c r="E3207" t="s">
        <v>6989</v>
      </c>
      <c r="F3207" t="str">
        <f>"00269262"</f>
        <v>00269262</v>
      </c>
      <c r="G3207" t="s">
        <v>111</v>
      </c>
      <c r="H3207" t="s">
        <v>48</v>
      </c>
      <c r="I3207">
        <v>1620</v>
      </c>
      <c r="J3207" t="s">
        <v>21</v>
      </c>
      <c r="K3207">
        <v>0</v>
      </c>
      <c r="M3207">
        <v>1328</v>
      </c>
    </row>
    <row r="3208" spans="1:13">
      <c r="A3208">
        <v>3202</v>
      </c>
      <c r="B3208">
        <v>76861</v>
      </c>
      <c r="C3208" t="s">
        <v>6990</v>
      </c>
      <c r="D3208" t="s">
        <v>243</v>
      </c>
      <c r="E3208" t="s">
        <v>6991</v>
      </c>
      <c r="F3208" t="str">
        <f>"201511019185"</f>
        <v>201511019185</v>
      </c>
      <c r="G3208" t="s">
        <v>428</v>
      </c>
      <c r="H3208" t="s">
        <v>20</v>
      </c>
      <c r="I3208">
        <v>1556</v>
      </c>
      <c r="J3208" t="s">
        <v>21</v>
      </c>
      <c r="K3208">
        <v>6</v>
      </c>
      <c r="M3208">
        <v>1328</v>
      </c>
    </row>
    <row r="3209" spans="1:13">
      <c r="A3209">
        <v>3203</v>
      </c>
      <c r="B3209">
        <v>113147</v>
      </c>
      <c r="C3209" t="s">
        <v>6992</v>
      </c>
      <c r="D3209" t="s">
        <v>102</v>
      </c>
      <c r="E3209" t="s">
        <v>6993</v>
      </c>
      <c r="F3209" t="str">
        <f>"201401001259"</f>
        <v>201401001259</v>
      </c>
      <c r="G3209" t="s">
        <v>170</v>
      </c>
      <c r="H3209" t="s">
        <v>20</v>
      </c>
      <c r="I3209">
        <v>1412</v>
      </c>
      <c r="J3209" t="s">
        <v>21</v>
      </c>
      <c r="K3209">
        <v>0</v>
      </c>
      <c r="L3209" t="s">
        <v>35</v>
      </c>
      <c r="M3209">
        <v>875</v>
      </c>
    </row>
    <row r="3210" spans="1:13">
      <c r="A3210">
        <v>3204</v>
      </c>
      <c r="B3210">
        <v>62641</v>
      </c>
      <c r="C3210" t="s">
        <v>6994</v>
      </c>
      <c r="D3210" t="s">
        <v>76</v>
      </c>
      <c r="E3210" t="s">
        <v>6995</v>
      </c>
      <c r="F3210" t="str">
        <f>"00251814"</f>
        <v>00251814</v>
      </c>
      <c r="G3210" t="s">
        <v>883</v>
      </c>
      <c r="H3210" t="s">
        <v>270</v>
      </c>
      <c r="I3210">
        <v>1585</v>
      </c>
      <c r="J3210" t="s">
        <v>21</v>
      </c>
      <c r="K3210">
        <v>0</v>
      </c>
      <c r="M3210">
        <v>1520</v>
      </c>
    </row>
    <row r="3211" spans="1:13">
      <c r="A3211">
        <v>3205</v>
      </c>
      <c r="B3211">
        <v>84030</v>
      </c>
      <c r="C3211" t="s">
        <v>6996</v>
      </c>
      <c r="D3211" t="s">
        <v>243</v>
      </c>
      <c r="E3211" t="s">
        <v>6997</v>
      </c>
      <c r="F3211" t="str">
        <f>"00279302"</f>
        <v>00279302</v>
      </c>
      <c r="G3211" t="s">
        <v>344</v>
      </c>
      <c r="H3211" t="s">
        <v>137</v>
      </c>
      <c r="I3211">
        <v>1614</v>
      </c>
      <c r="J3211" t="s">
        <v>21</v>
      </c>
      <c r="K3211">
        <v>0</v>
      </c>
      <c r="L3211" t="s">
        <v>35</v>
      </c>
      <c r="M3211">
        <v>900</v>
      </c>
    </row>
    <row r="3212" spans="1:13">
      <c r="A3212">
        <v>3206</v>
      </c>
      <c r="B3212">
        <v>49655</v>
      </c>
      <c r="C3212" t="s">
        <v>6998</v>
      </c>
      <c r="D3212" t="s">
        <v>213</v>
      </c>
      <c r="E3212" t="s">
        <v>6999</v>
      </c>
      <c r="F3212" t="str">
        <f>"201412005863"</f>
        <v>201412005863</v>
      </c>
      <c r="G3212" t="s">
        <v>226</v>
      </c>
      <c r="H3212" t="s">
        <v>20</v>
      </c>
      <c r="I3212">
        <v>1510</v>
      </c>
      <c r="J3212" t="s">
        <v>21</v>
      </c>
      <c r="K3212">
        <v>0</v>
      </c>
      <c r="L3212" t="s">
        <v>59</v>
      </c>
      <c r="M3212">
        <v>1018</v>
      </c>
    </row>
    <row r="3213" spans="1:13">
      <c r="A3213">
        <v>3207</v>
      </c>
      <c r="B3213">
        <v>92892</v>
      </c>
      <c r="C3213" t="s">
        <v>7000</v>
      </c>
      <c r="D3213" t="s">
        <v>80</v>
      </c>
      <c r="E3213" t="s">
        <v>7001</v>
      </c>
      <c r="F3213" t="str">
        <f>"00151237"</f>
        <v>00151237</v>
      </c>
      <c r="G3213" t="s">
        <v>24</v>
      </c>
      <c r="H3213" t="s">
        <v>20</v>
      </c>
      <c r="I3213">
        <v>1577</v>
      </c>
      <c r="J3213" t="s">
        <v>21</v>
      </c>
      <c r="K3213">
        <v>0</v>
      </c>
      <c r="L3213" t="s">
        <v>59</v>
      </c>
      <c r="M3213">
        <v>928</v>
      </c>
    </row>
    <row r="3214" spans="1:13">
      <c r="A3214">
        <v>3208</v>
      </c>
      <c r="B3214">
        <v>82721</v>
      </c>
      <c r="C3214" t="s">
        <v>7002</v>
      </c>
      <c r="D3214" t="s">
        <v>90</v>
      </c>
      <c r="E3214" t="s">
        <v>7003</v>
      </c>
      <c r="F3214" t="str">
        <f>"00365657"</f>
        <v>00365657</v>
      </c>
      <c r="G3214" t="s">
        <v>418</v>
      </c>
      <c r="H3214" t="s">
        <v>234</v>
      </c>
      <c r="I3214">
        <v>1335</v>
      </c>
      <c r="J3214" t="s">
        <v>21</v>
      </c>
      <c r="K3214">
        <v>6</v>
      </c>
      <c r="L3214" t="s">
        <v>35</v>
      </c>
      <c r="M3214">
        <v>1008</v>
      </c>
    </row>
    <row r="3215" spans="1:13">
      <c r="A3215">
        <v>3209</v>
      </c>
      <c r="B3215">
        <v>70577</v>
      </c>
      <c r="C3215" t="s">
        <v>7004</v>
      </c>
      <c r="D3215" t="s">
        <v>6973</v>
      </c>
      <c r="E3215" t="s">
        <v>7005</v>
      </c>
      <c r="F3215" t="str">
        <f>"00380940"</f>
        <v>00380940</v>
      </c>
      <c r="G3215" t="s">
        <v>2142</v>
      </c>
      <c r="H3215" t="s">
        <v>20</v>
      </c>
      <c r="I3215">
        <v>1423</v>
      </c>
      <c r="J3215" t="s">
        <v>21</v>
      </c>
      <c r="K3215">
        <v>0</v>
      </c>
      <c r="L3215" t="s">
        <v>35</v>
      </c>
      <c r="M3215">
        <v>1108</v>
      </c>
    </row>
    <row r="3216" spans="1:13">
      <c r="A3216">
        <v>3210</v>
      </c>
      <c r="B3216">
        <v>92431</v>
      </c>
      <c r="C3216" t="s">
        <v>7006</v>
      </c>
      <c r="D3216" t="s">
        <v>90</v>
      </c>
      <c r="E3216" t="s">
        <v>7007</v>
      </c>
      <c r="F3216" t="str">
        <f>"00395951"</f>
        <v>00395951</v>
      </c>
      <c r="G3216" t="s">
        <v>540</v>
      </c>
      <c r="H3216" t="s">
        <v>20</v>
      </c>
      <c r="I3216">
        <v>1435</v>
      </c>
      <c r="J3216" t="s">
        <v>21</v>
      </c>
      <c r="K3216">
        <v>0</v>
      </c>
      <c r="M3216">
        <v>1338</v>
      </c>
    </row>
    <row r="3217" spans="1:13">
      <c r="A3217">
        <v>3211</v>
      </c>
      <c r="B3217">
        <v>113336</v>
      </c>
      <c r="C3217" t="s">
        <v>7008</v>
      </c>
      <c r="D3217" t="s">
        <v>80</v>
      </c>
      <c r="E3217" t="s">
        <v>7009</v>
      </c>
      <c r="F3217" t="str">
        <f>"00422440"</f>
        <v>00422440</v>
      </c>
      <c r="G3217" t="s">
        <v>4439</v>
      </c>
      <c r="H3217" t="s">
        <v>137</v>
      </c>
      <c r="I3217">
        <v>1608</v>
      </c>
      <c r="J3217" t="s">
        <v>21</v>
      </c>
      <c r="K3217">
        <v>0</v>
      </c>
      <c r="M3217">
        <v>1588</v>
      </c>
    </row>
    <row r="3218" spans="1:13">
      <c r="A3218">
        <v>3212</v>
      </c>
      <c r="B3218">
        <v>101811</v>
      </c>
      <c r="C3218" t="s">
        <v>7010</v>
      </c>
      <c r="D3218" t="s">
        <v>102</v>
      </c>
      <c r="E3218" t="s">
        <v>7011</v>
      </c>
      <c r="F3218" t="str">
        <f>"00343971"</f>
        <v>00343971</v>
      </c>
      <c r="G3218" t="s">
        <v>150</v>
      </c>
      <c r="H3218" t="s">
        <v>151</v>
      </c>
      <c r="I3218">
        <v>1699</v>
      </c>
      <c r="J3218" t="s">
        <v>21</v>
      </c>
      <c r="K3218">
        <v>0</v>
      </c>
      <c r="L3218" t="s">
        <v>83</v>
      </c>
      <c r="M3218">
        <v>1198</v>
      </c>
    </row>
    <row r="3219" spans="1:13">
      <c r="A3219">
        <v>3213</v>
      </c>
      <c r="B3219">
        <v>107329</v>
      </c>
      <c r="C3219" t="s">
        <v>7012</v>
      </c>
      <c r="D3219" t="s">
        <v>80</v>
      </c>
      <c r="E3219" t="s">
        <v>7013</v>
      </c>
      <c r="F3219" t="str">
        <f>"00416178"</f>
        <v>00416178</v>
      </c>
      <c r="G3219" t="s">
        <v>150</v>
      </c>
      <c r="H3219" t="s">
        <v>151</v>
      </c>
      <c r="I3219">
        <v>1699</v>
      </c>
      <c r="J3219" t="s">
        <v>21</v>
      </c>
      <c r="K3219">
        <v>0</v>
      </c>
      <c r="L3219" t="s">
        <v>35</v>
      </c>
      <c r="M3219">
        <v>835</v>
      </c>
    </row>
    <row r="3220" spans="1:13">
      <c r="A3220">
        <v>3214</v>
      </c>
      <c r="B3220">
        <v>47984</v>
      </c>
      <c r="C3220" t="s">
        <v>7014</v>
      </c>
      <c r="D3220" t="s">
        <v>1385</v>
      </c>
      <c r="E3220" t="s">
        <v>7015</v>
      </c>
      <c r="F3220" t="str">
        <f>"00253387"</f>
        <v>00253387</v>
      </c>
      <c r="G3220" t="s">
        <v>600</v>
      </c>
      <c r="H3220" t="s">
        <v>366</v>
      </c>
      <c r="I3220">
        <v>1694</v>
      </c>
      <c r="J3220" t="s">
        <v>21</v>
      </c>
      <c r="K3220">
        <v>0</v>
      </c>
      <c r="M3220">
        <v>1346</v>
      </c>
    </row>
    <row r="3221" spans="1:13">
      <c r="A3221">
        <v>3215</v>
      </c>
      <c r="B3221">
        <v>84672</v>
      </c>
      <c r="C3221" t="s">
        <v>7016</v>
      </c>
      <c r="D3221" t="s">
        <v>2158</v>
      </c>
      <c r="E3221" t="s">
        <v>7017</v>
      </c>
      <c r="F3221" t="str">
        <f>"201510001961"</f>
        <v>201510001961</v>
      </c>
      <c r="G3221" t="s">
        <v>600</v>
      </c>
      <c r="H3221" t="s">
        <v>1820</v>
      </c>
      <c r="I3221">
        <v>1721</v>
      </c>
      <c r="J3221" t="s">
        <v>21</v>
      </c>
      <c r="K3221">
        <v>0</v>
      </c>
      <c r="L3221" t="s">
        <v>35</v>
      </c>
      <c r="M3221">
        <v>974</v>
      </c>
    </row>
    <row r="3222" spans="1:13">
      <c r="A3222">
        <v>3216</v>
      </c>
      <c r="B3222">
        <v>84130</v>
      </c>
      <c r="C3222" t="s">
        <v>7018</v>
      </c>
      <c r="D3222" t="s">
        <v>145</v>
      </c>
      <c r="E3222" t="s">
        <v>7019</v>
      </c>
      <c r="F3222" t="str">
        <f>"00401428"</f>
        <v>00401428</v>
      </c>
      <c r="G3222" t="s">
        <v>107</v>
      </c>
      <c r="H3222" t="s">
        <v>20</v>
      </c>
      <c r="I3222">
        <v>1472</v>
      </c>
      <c r="J3222" t="s">
        <v>21</v>
      </c>
      <c r="K3222">
        <v>0</v>
      </c>
      <c r="L3222" t="s">
        <v>112</v>
      </c>
      <c r="M3222">
        <v>808</v>
      </c>
    </row>
    <row r="3223" spans="1:13">
      <c r="A3223">
        <v>3217</v>
      </c>
      <c r="B3223">
        <v>48832</v>
      </c>
      <c r="C3223" t="s">
        <v>7020</v>
      </c>
      <c r="D3223" t="s">
        <v>391</v>
      </c>
      <c r="E3223" t="s">
        <v>7021</v>
      </c>
      <c r="F3223" t="str">
        <f>"00262682"</f>
        <v>00262682</v>
      </c>
      <c r="G3223" t="s">
        <v>760</v>
      </c>
      <c r="H3223" t="s">
        <v>20</v>
      </c>
      <c r="I3223">
        <v>1432</v>
      </c>
      <c r="J3223" t="s">
        <v>21</v>
      </c>
      <c r="K3223">
        <v>0</v>
      </c>
      <c r="L3223" t="s">
        <v>59</v>
      </c>
      <c r="M3223">
        <v>1009</v>
      </c>
    </row>
    <row r="3224" spans="1:13">
      <c r="A3224">
        <v>3218</v>
      </c>
      <c r="B3224">
        <v>55266</v>
      </c>
      <c r="C3224" t="s">
        <v>7022</v>
      </c>
      <c r="D3224" t="s">
        <v>65</v>
      </c>
      <c r="E3224" t="s">
        <v>7023</v>
      </c>
      <c r="F3224" t="str">
        <f>"00349798"</f>
        <v>00349798</v>
      </c>
      <c r="G3224" t="s">
        <v>488</v>
      </c>
      <c r="H3224" t="s">
        <v>20</v>
      </c>
      <c r="I3224">
        <v>1482</v>
      </c>
      <c r="J3224" t="s">
        <v>21</v>
      </c>
      <c r="K3224">
        <v>0</v>
      </c>
      <c r="M3224">
        <v>1328</v>
      </c>
    </row>
    <row r="3225" spans="1:13">
      <c r="A3225">
        <v>3219</v>
      </c>
      <c r="B3225">
        <v>78502</v>
      </c>
      <c r="C3225" t="s">
        <v>7024</v>
      </c>
      <c r="D3225" t="s">
        <v>288</v>
      </c>
      <c r="E3225" t="s">
        <v>7025</v>
      </c>
      <c r="F3225" t="str">
        <f>"00389507"</f>
        <v>00389507</v>
      </c>
      <c r="G3225" t="s">
        <v>107</v>
      </c>
      <c r="H3225" t="s">
        <v>20</v>
      </c>
      <c r="I3225">
        <v>1472</v>
      </c>
      <c r="J3225" t="s">
        <v>21</v>
      </c>
      <c r="K3225">
        <v>0</v>
      </c>
      <c r="L3225" t="s">
        <v>35</v>
      </c>
      <c r="M3225">
        <v>908</v>
      </c>
    </row>
    <row r="3226" spans="1:13">
      <c r="A3226">
        <v>3220</v>
      </c>
      <c r="B3226">
        <v>91629</v>
      </c>
      <c r="C3226" t="s">
        <v>7026</v>
      </c>
      <c r="D3226" t="s">
        <v>76</v>
      </c>
      <c r="E3226" t="s">
        <v>7027</v>
      </c>
      <c r="F3226" t="str">
        <f>"00373907"</f>
        <v>00373907</v>
      </c>
      <c r="G3226" t="s">
        <v>38</v>
      </c>
      <c r="H3226" t="s">
        <v>39</v>
      </c>
      <c r="I3226">
        <v>1634</v>
      </c>
      <c r="J3226" t="s">
        <v>21</v>
      </c>
      <c r="K3226">
        <v>0</v>
      </c>
      <c r="L3226" t="s">
        <v>88</v>
      </c>
      <c r="M3226">
        <v>375</v>
      </c>
    </row>
    <row r="3227" spans="1:13">
      <c r="A3227">
        <v>3221</v>
      </c>
      <c r="B3227">
        <v>67204</v>
      </c>
      <c r="C3227" t="s">
        <v>7028</v>
      </c>
      <c r="D3227" t="s">
        <v>145</v>
      </c>
      <c r="E3227" t="s">
        <v>7029</v>
      </c>
      <c r="F3227" t="str">
        <f>"00386922"</f>
        <v>00386922</v>
      </c>
      <c r="G3227" t="s">
        <v>150</v>
      </c>
      <c r="H3227" t="s">
        <v>151</v>
      </c>
      <c r="I3227">
        <v>1699</v>
      </c>
      <c r="J3227" t="s">
        <v>21</v>
      </c>
      <c r="K3227">
        <v>0</v>
      </c>
      <c r="L3227" t="s">
        <v>112</v>
      </c>
      <c r="M3227">
        <v>808</v>
      </c>
    </row>
    <row r="3228" spans="1:13">
      <c r="A3228">
        <v>3222</v>
      </c>
      <c r="B3228">
        <v>79230</v>
      </c>
      <c r="C3228" t="s">
        <v>7030</v>
      </c>
      <c r="D3228" t="s">
        <v>180</v>
      </c>
      <c r="E3228" t="s">
        <v>7031</v>
      </c>
      <c r="F3228" t="str">
        <f>"00391972"</f>
        <v>00391972</v>
      </c>
      <c r="G3228" t="s">
        <v>380</v>
      </c>
      <c r="H3228" t="s">
        <v>20</v>
      </c>
      <c r="I3228">
        <v>1496</v>
      </c>
      <c r="J3228" t="s">
        <v>21</v>
      </c>
      <c r="K3228">
        <v>0</v>
      </c>
      <c r="M3228">
        <v>1518</v>
      </c>
    </row>
    <row r="3229" spans="1:13">
      <c r="A3229">
        <v>3223</v>
      </c>
      <c r="B3229">
        <v>112872</v>
      </c>
      <c r="C3229" t="s">
        <v>7032</v>
      </c>
      <c r="D3229" t="s">
        <v>76</v>
      </c>
      <c r="E3229" t="s">
        <v>7033</v>
      </c>
      <c r="F3229" t="str">
        <f>"201511025031"</f>
        <v>201511025031</v>
      </c>
      <c r="G3229" t="s">
        <v>760</v>
      </c>
      <c r="H3229" t="s">
        <v>20</v>
      </c>
      <c r="I3229">
        <v>1432</v>
      </c>
      <c r="J3229" t="s">
        <v>21</v>
      </c>
      <c r="K3229">
        <v>0</v>
      </c>
      <c r="M3229">
        <v>1698</v>
      </c>
    </row>
    <row r="3230" spans="1:13">
      <c r="A3230">
        <v>3224</v>
      </c>
      <c r="B3230">
        <v>96672</v>
      </c>
      <c r="C3230" t="s">
        <v>7034</v>
      </c>
      <c r="D3230" t="s">
        <v>121</v>
      </c>
      <c r="E3230" t="s">
        <v>7035</v>
      </c>
      <c r="F3230" t="str">
        <f>"201606000108"</f>
        <v>201606000108</v>
      </c>
      <c r="G3230" t="s">
        <v>465</v>
      </c>
      <c r="H3230" t="s">
        <v>20</v>
      </c>
      <c r="I3230">
        <v>1534</v>
      </c>
      <c r="J3230" t="s">
        <v>21</v>
      </c>
      <c r="K3230">
        <v>0</v>
      </c>
      <c r="L3230" t="s">
        <v>59</v>
      </c>
      <c r="M3230">
        <v>838</v>
      </c>
    </row>
    <row r="3231" spans="1:13">
      <c r="A3231">
        <v>3225</v>
      </c>
      <c r="B3231">
        <v>92260</v>
      </c>
      <c r="C3231" t="s">
        <v>7036</v>
      </c>
      <c r="D3231" t="s">
        <v>130</v>
      </c>
      <c r="E3231" t="s">
        <v>7037</v>
      </c>
      <c r="F3231" t="str">
        <f>"00086044"</f>
        <v>00086044</v>
      </c>
      <c r="G3231" t="s">
        <v>358</v>
      </c>
      <c r="H3231" t="s">
        <v>20</v>
      </c>
      <c r="I3231">
        <v>1549</v>
      </c>
      <c r="J3231" t="s">
        <v>21</v>
      </c>
      <c r="K3231">
        <v>0</v>
      </c>
      <c r="M3231">
        <v>1428</v>
      </c>
    </row>
    <row r="3232" spans="1:13">
      <c r="A3232">
        <v>3226</v>
      </c>
      <c r="B3232">
        <v>57730</v>
      </c>
      <c r="C3232" t="s">
        <v>7038</v>
      </c>
      <c r="D3232" t="s">
        <v>130</v>
      </c>
      <c r="E3232" t="s">
        <v>7039</v>
      </c>
      <c r="F3232" t="str">
        <f>"00318071"</f>
        <v>00318071</v>
      </c>
      <c r="G3232" t="s">
        <v>200</v>
      </c>
      <c r="H3232" t="s">
        <v>20</v>
      </c>
      <c r="I3232">
        <v>1492</v>
      </c>
      <c r="J3232" t="s">
        <v>21</v>
      </c>
      <c r="K3232">
        <v>0</v>
      </c>
      <c r="M3232">
        <v>1528</v>
      </c>
    </row>
    <row r="3233" spans="1:13">
      <c r="A3233">
        <v>3227</v>
      </c>
      <c r="B3233">
        <v>71643</v>
      </c>
      <c r="C3233" t="s">
        <v>7040</v>
      </c>
      <c r="D3233" t="s">
        <v>90</v>
      </c>
      <c r="E3233" t="s">
        <v>7041</v>
      </c>
      <c r="F3233" t="str">
        <f>"00365313"</f>
        <v>00365313</v>
      </c>
      <c r="G3233" t="s">
        <v>29</v>
      </c>
      <c r="H3233" t="s">
        <v>20</v>
      </c>
      <c r="I3233">
        <v>1446</v>
      </c>
      <c r="J3233" t="s">
        <v>21</v>
      </c>
      <c r="K3233">
        <v>0</v>
      </c>
      <c r="L3233" t="s">
        <v>35</v>
      </c>
      <c r="M3233">
        <v>1050</v>
      </c>
    </row>
    <row r="3234" spans="1:13">
      <c r="A3234">
        <v>3228</v>
      </c>
      <c r="B3234">
        <v>83938</v>
      </c>
      <c r="C3234" t="s">
        <v>7042</v>
      </c>
      <c r="D3234" t="s">
        <v>243</v>
      </c>
      <c r="E3234" t="s">
        <v>7043</v>
      </c>
      <c r="F3234" t="str">
        <f>"00408142"</f>
        <v>00408142</v>
      </c>
      <c r="G3234" t="s">
        <v>696</v>
      </c>
      <c r="H3234" t="s">
        <v>20</v>
      </c>
      <c r="I3234">
        <v>1520</v>
      </c>
      <c r="J3234" t="s">
        <v>21</v>
      </c>
      <c r="K3234">
        <v>0</v>
      </c>
      <c r="M3234">
        <v>1388</v>
      </c>
    </row>
    <row r="3235" spans="1:13">
      <c r="A3235">
        <v>3229</v>
      </c>
      <c r="B3235">
        <v>49389</v>
      </c>
      <c r="C3235" t="s">
        <v>7044</v>
      </c>
      <c r="D3235" t="s">
        <v>3880</v>
      </c>
      <c r="E3235" t="s">
        <v>7045</v>
      </c>
      <c r="F3235" t="str">
        <f>"00253688"</f>
        <v>00253688</v>
      </c>
      <c r="G3235" t="s">
        <v>245</v>
      </c>
      <c r="H3235" t="s">
        <v>20</v>
      </c>
      <c r="I3235">
        <v>1406</v>
      </c>
      <c r="J3235" t="s">
        <v>21</v>
      </c>
      <c r="K3235">
        <v>0</v>
      </c>
      <c r="L3235" t="s">
        <v>88</v>
      </c>
      <c r="M3235">
        <v>700</v>
      </c>
    </row>
    <row r="3236" spans="1:13">
      <c r="A3236">
        <v>3230</v>
      </c>
      <c r="B3236">
        <v>69336</v>
      </c>
      <c r="C3236" t="s">
        <v>7046</v>
      </c>
      <c r="D3236" t="s">
        <v>76</v>
      </c>
      <c r="E3236" t="s">
        <v>7047</v>
      </c>
      <c r="F3236" t="str">
        <f>"200809000008"</f>
        <v>200809000008</v>
      </c>
      <c r="G3236" t="s">
        <v>1074</v>
      </c>
      <c r="H3236" t="s">
        <v>48</v>
      </c>
      <c r="I3236">
        <v>1627</v>
      </c>
      <c r="J3236" t="s">
        <v>21</v>
      </c>
      <c r="K3236">
        <v>6</v>
      </c>
      <c r="M3236">
        <v>1116</v>
      </c>
    </row>
    <row r="3237" spans="1:13">
      <c r="A3237">
        <v>3231</v>
      </c>
      <c r="B3237">
        <v>82464</v>
      </c>
      <c r="C3237" t="s">
        <v>7048</v>
      </c>
      <c r="D3237" t="s">
        <v>109</v>
      </c>
      <c r="E3237" t="s">
        <v>7049</v>
      </c>
      <c r="F3237" t="str">
        <f>"00377509"</f>
        <v>00377509</v>
      </c>
      <c r="G3237" t="s">
        <v>111</v>
      </c>
      <c r="H3237" t="s">
        <v>48</v>
      </c>
      <c r="I3237">
        <v>1620</v>
      </c>
      <c r="J3237" t="s">
        <v>21</v>
      </c>
      <c r="K3237">
        <v>0</v>
      </c>
      <c r="L3237" t="s">
        <v>35</v>
      </c>
      <c r="M3237">
        <v>908</v>
      </c>
    </row>
    <row r="3238" spans="1:13">
      <c r="A3238">
        <v>3232</v>
      </c>
      <c r="B3238">
        <v>68520</v>
      </c>
      <c r="C3238" t="s">
        <v>7050</v>
      </c>
      <c r="D3238" t="s">
        <v>80</v>
      </c>
      <c r="E3238" t="s">
        <v>7051</v>
      </c>
      <c r="F3238" t="str">
        <f>"201511023435"</f>
        <v>201511023435</v>
      </c>
      <c r="G3238" t="s">
        <v>107</v>
      </c>
      <c r="H3238" t="s">
        <v>20</v>
      </c>
      <c r="I3238">
        <v>1472</v>
      </c>
      <c r="J3238" t="s">
        <v>21</v>
      </c>
      <c r="K3238">
        <v>0</v>
      </c>
      <c r="L3238" t="s">
        <v>35</v>
      </c>
      <c r="M3238">
        <v>1108</v>
      </c>
    </row>
    <row r="3239" spans="1:13">
      <c r="A3239">
        <v>3233</v>
      </c>
      <c r="B3239">
        <v>69284</v>
      </c>
      <c r="C3239" t="s">
        <v>7052</v>
      </c>
      <c r="D3239" t="s">
        <v>218</v>
      </c>
      <c r="E3239" t="s">
        <v>7053</v>
      </c>
      <c r="F3239" t="str">
        <f>"201402011246"</f>
        <v>201402011246</v>
      </c>
      <c r="G3239" t="s">
        <v>365</v>
      </c>
      <c r="H3239" t="s">
        <v>366</v>
      </c>
      <c r="I3239">
        <v>1692</v>
      </c>
      <c r="J3239" t="s">
        <v>21</v>
      </c>
      <c r="K3239">
        <v>0</v>
      </c>
      <c r="L3239" t="s">
        <v>59</v>
      </c>
      <c r="M3239">
        <v>988</v>
      </c>
    </row>
    <row r="3240" spans="1:13">
      <c r="A3240">
        <v>3234</v>
      </c>
      <c r="B3240">
        <v>75330</v>
      </c>
      <c r="C3240" t="s">
        <v>7054</v>
      </c>
      <c r="D3240" t="s">
        <v>76</v>
      </c>
      <c r="E3240" t="s">
        <v>7055</v>
      </c>
      <c r="F3240" t="str">
        <f>"00415740"</f>
        <v>00415740</v>
      </c>
      <c r="G3240" t="s">
        <v>709</v>
      </c>
      <c r="H3240" t="s">
        <v>20</v>
      </c>
      <c r="I3240">
        <v>1413</v>
      </c>
      <c r="J3240" t="s">
        <v>21</v>
      </c>
      <c r="K3240">
        <v>0</v>
      </c>
      <c r="L3240" t="s">
        <v>59</v>
      </c>
      <c r="M3240">
        <v>833</v>
      </c>
    </row>
    <row r="3241" spans="1:13">
      <c r="A3241">
        <v>3235</v>
      </c>
      <c r="B3241">
        <v>67468</v>
      </c>
      <c r="C3241" t="s">
        <v>7056</v>
      </c>
      <c r="D3241" t="s">
        <v>163</v>
      </c>
      <c r="E3241" t="s">
        <v>7057</v>
      </c>
      <c r="F3241" t="str">
        <f>"00393690"</f>
        <v>00393690</v>
      </c>
      <c r="G3241" t="s">
        <v>418</v>
      </c>
      <c r="H3241" t="s">
        <v>234</v>
      </c>
      <c r="I3241">
        <v>1335</v>
      </c>
      <c r="J3241" t="s">
        <v>21</v>
      </c>
      <c r="K3241">
        <v>6</v>
      </c>
      <c r="L3241" t="s">
        <v>35</v>
      </c>
      <c r="M3241">
        <v>1008</v>
      </c>
    </row>
    <row r="3242" spans="1:13">
      <c r="A3242">
        <v>3236</v>
      </c>
      <c r="B3242">
        <v>97250</v>
      </c>
      <c r="C3242" t="s">
        <v>7058</v>
      </c>
      <c r="D3242" t="s">
        <v>7059</v>
      </c>
      <c r="E3242" t="s">
        <v>7060</v>
      </c>
      <c r="F3242" t="str">
        <f>"00386751"</f>
        <v>00386751</v>
      </c>
      <c r="G3242" t="s">
        <v>150</v>
      </c>
      <c r="H3242" t="s">
        <v>151</v>
      </c>
      <c r="I3242">
        <v>1699</v>
      </c>
      <c r="J3242" t="s">
        <v>21</v>
      </c>
      <c r="K3242">
        <v>0</v>
      </c>
      <c r="M3242">
        <v>1388</v>
      </c>
    </row>
    <row r="3243" spans="1:13">
      <c r="A3243">
        <v>3237</v>
      </c>
      <c r="B3243">
        <v>71642</v>
      </c>
      <c r="C3243" t="s">
        <v>7061</v>
      </c>
      <c r="D3243" t="s">
        <v>180</v>
      </c>
      <c r="E3243" t="s">
        <v>7062</v>
      </c>
      <c r="F3243" t="str">
        <f>"00378616"</f>
        <v>00378616</v>
      </c>
      <c r="G3243" t="s">
        <v>258</v>
      </c>
      <c r="H3243" t="s">
        <v>20</v>
      </c>
      <c r="I3243">
        <v>1484</v>
      </c>
      <c r="J3243" t="s">
        <v>21</v>
      </c>
      <c r="K3243">
        <v>0</v>
      </c>
      <c r="L3243" t="s">
        <v>25</v>
      </c>
      <c r="M3243">
        <v>1178</v>
      </c>
    </row>
    <row r="3244" spans="1:13">
      <c r="A3244">
        <v>3238</v>
      </c>
      <c r="B3244">
        <v>60867</v>
      </c>
      <c r="C3244" t="s">
        <v>7063</v>
      </c>
      <c r="D3244" t="s">
        <v>102</v>
      </c>
      <c r="E3244" t="s">
        <v>7064</v>
      </c>
      <c r="F3244" t="str">
        <f>"00356631"</f>
        <v>00356631</v>
      </c>
      <c r="G3244" t="s">
        <v>380</v>
      </c>
      <c r="H3244" t="s">
        <v>137</v>
      </c>
      <c r="I3244">
        <v>1615</v>
      </c>
      <c r="J3244" t="s">
        <v>21</v>
      </c>
      <c r="K3244">
        <v>0</v>
      </c>
      <c r="L3244" t="s">
        <v>88</v>
      </c>
      <c r="M3244">
        <v>758</v>
      </c>
    </row>
    <row r="3245" spans="1:13">
      <c r="A3245">
        <v>3239</v>
      </c>
      <c r="B3245">
        <v>60135</v>
      </c>
      <c r="C3245" t="s">
        <v>7065</v>
      </c>
      <c r="D3245" t="s">
        <v>153</v>
      </c>
      <c r="E3245" t="s">
        <v>7066</v>
      </c>
      <c r="F3245" t="str">
        <f>"00081895"</f>
        <v>00081895</v>
      </c>
      <c r="G3245" t="s">
        <v>371</v>
      </c>
      <c r="H3245" t="s">
        <v>20</v>
      </c>
      <c r="I3245">
        <v>1526</v>
      </c>
      <c r="J3245" t="s">
        <v>21</v>
      </c>
      <c r="K3245">
        <v>6</v>
      </c>
      <c r="L3245" t="s">
        <v>35</v>
      </c>
      <c r="M3245">
        <v>650</v>
      </c>
    </row>
    <row r="3246" spans="1:13">
      <c r="A3246">
        <v>3240</v>
      </c>
      <c r="B3246">
        <v>75568</v>
      </c>
      <c r="C3246" t="s">
        <v>7067</v>
      </c>
      <c r="D3246" t="s">
        <v>102</v>
      </c>
      <c r="E3246" t="s">
        <v>7068</v>
      </c>
      <c r="F3246" t="str">
        <f>"00203175"</f>
        <v>00203175</v>
      </c>
      <c r="G3246" t="s">
        <v>1155</v>
      </c>
      <c r="H3246" t="s">
        <v>20</v>
      </c>
      <c r="I3246">
        <v>1480</v>
      </c>
      <c r="J3246" t="s">
        <v>21</v>
      </c>
      <c r="K3246">
        <v>0</v>
      </c>
      <c r="L3246" t="s">
        <v>35</v>
      </c>
      <c r="M3246">
        <v>1058</v>
      </c>
    </row>
    <row r="3247" spans="1:13">
      <c r="A3247">
        <v>3241</v>
      </c>
      <c r="B3247">
        <v>100755</v>
      </c>
      <c r="C3247" t="s">
        <v>7069</v>
      </c>
      <c r="D3247" t="s">
        <v>209</v>
      </c>
      <c r="E3247" t="s">
        <v>7070</v>
      </c>
      <c r="F3247" t="str">
        <f>"00356286"</f>
        <v>00356286</v>
      </c>
      <c r="G3247" t="s">
        <v>38</v>
      </c>
      <c r="H3247" t="s">
        <v>39</v>
      </c>
      <c r="I3247">
        <v>1634</v>
      </c>
      <c r="J3247" t="s">
        <v>21</v>
      </c>
      <c r="K3247">
        <v>6</v>
      </c>
      <c r="M3247">
        <v>1128</v>
      </c>
    </row>
    <row r="3248" spans="1:13">
      <c r="A3248">
        <v>3242</v>
      </c>
      <c r="B3248">
        <v>77097</v>
      </c>
      <c r="C3248" t="s">
        <v>7071</v>
      </c>
      <c r="D3248" t="s">
        <v>628</v>
      </c>
      <c r="E3248" t="s">
        <v>7072</v>
      </c>
      <c r="F3248" t="str">
        <f>"00225746"</f>
        <v>00225746</v>
      </c>
      <c r="G3248" t="s">
        <v>47</v>
      </c>
      <c r="H3248" t="s">
        <v>48</v>
      </c>
      <c r="I3248">
        <v>1623</v>
      </c>
      <c r="J3248" t="s">
        <v>21</v>
      </c>
      <c r="K3248">
        <v>0</v>
      </c>
      <c r="M3248">
        <v>1338</v>
      </c>
    </row>
    <row r="3249" spans="1:13">
      <c r="A3249">
        <v>3243</v>
      </c>
      <c r="B3249">
        <v>114081</v>
      </c>
      <c r="C3249" t="s">
        <v>7073</v>
      </c>
      <c r="D3249" t="s">
        <v>94</v>
      </c>
      <c r="E3249" t="s">
        <v>7074</v>
      </c>
      <c r="F3249" t="str">
        <f>"00415431"</f>
        <v>00415431</v>
      </c>
      <c r="G3249" t="s">
        <v>1155</v>
      </c>
      <c r="H3249" t="s">
        <v>20</v>
      </c>
      <c r="I3249">
        <v>1480</v>
      </c>
      <c r="J3249" t="s">
        <v>21</v>
      </c>
      <c r="K3249">
        <v>0</v>
      </c>
      <c r="L3249" t="s">
        <v>35</v>
      </c>
      <c r="M3249">
        <v>1100</v>
      </c>
    </row>
    <row r="3250" spans="1:13">
      <c r="A3250">
        <v>3244</v>
      </c>
      <c r="B3250">
        <v>100943</v>
      </c>
      <c r="C3250" t="s">
        <v>7075</v>
      </c>
      <c r="D3250" t="s">
        <v>563</v>
      </c>
      <c r="E3250" t="s">
        <v>7076</v>
      </c>
      <c r="F3250" t="str">
        <f>"00400862"</f>
        <v>00400862</v>
      </c>
      <c r="G3250" t="s">
        <v>2440</v>
      </c>
      <c r="H3250" t="s">
        <v>20</v>
      </c>
      <c r="I3250">
        <v>1567</v>
      </c>
      <c r="J3250" t="s">
        <v>21</v>
      </c>
      <c r="K3250">
        <v>0</v>
      </c>
      <c r="L3250" t="s">
        <v>35</v>
      </c>
      <c r="M3250">
        <v>1139</v>
      </c>
    </row>
    <row r="3251" spans="1:13">
      <c r="A3251">
        <v>3245</v>
      </c>
      <c r="B3251">
        <v>48520</v>
      </c>
      <c r="C3251" t="s">
        <v>7077</v>
      </c>
      <c r="D3251" t="s">
        <v>180</v>
      </c>
      <c r="E3251" t="s">
        <v>7078</v>
      </c>
      <c r="F3251" t="str">
        <f>"00358082"</f>
        <v>00358082</v>
      </c>
      <c r="G3251" t="s">
        <v>294</v>
      </c>
      <c r="H3251" t="s">
        <v>20</v>
      </c>
      <c r="I3251">
        <v>1421</v>
      </c>
      <c r="J3251" t="s">
        <v>21</v>
      </c>
      <c r="K3251">
        <v>0</v>
      </c>
      <c r="L3251" t="s">
        <v>35</v>
      </c>
      <c r="M3251">
        <v>1108</v>
      </c>
    </row>
    <row r="3252" spans="1:13">
      <c r="A3252">
        <v>3246</v>
      </c>
      <c r="B3252">
        <v>59953</v>
      </c>
      <c r="C3252" t="s">
        <v>7079</v>
      </c>
      <c r="D3252" t="s">
        <v>198</v>
      </c>
      <c r="E3252" t="s">
        <v>7080</v>
      </c>
      <c r="F3252" t="str">
        <f>"00312288"</f>
        <v>00312288</v>
      </c>
      <c r="G3252" t="s">
        <v>375</v>
      </c>
      <c r="H3252" t="s">
        <v>20</v>
      </c>
      <c r="I3252">
        <v>1516</v>
      </c>
      <c r="J3252" t="s">
        <v>21</v>
      </c>
      <c r="K3252">
        <v>0</v>
      </c>
      <c r="L3252" t="s">
        <v>35</v>
      </c>
      <c r="M3252">
        <v>1075</v>
      </c>
    </row>
    <row r="3253" spans="1:13">
      <c r="A3253">
        <v>3247</v>
      </c>
      <c r="B3253">
        <v>69961</v>
      </c>
      <c r="C3253" t="s">
        <v>7081</v>
      </c>
      <c r="D3253" t="s">
        <v>94</v>
      </c>
      <c r="E3253" t="s">
        <v>7082</v>
      </c>
      <c r="F3253" t="str">
        <f>"00094618"</f>
        <v>00094618</v>
      </c>
      <c r="G3253" t="s">
        <v>258</v>
      </c>
      <c r="H3253" t="s">
        <v>20</v>
      </c>
      <c r="I3253">
        <v>1484</v>
      </c>
      <c r="J3253" t="s">
        <v>21</v>
      </c>
      <c r="K3253">
        <v>0</v>
      </c>
      <c r="L3253" t="s">
        <v>59</v>
      </c>
      <c r="M3253">
        <v>788</v>
      </c>
    </row>
    <row r="3254" spans="1:13">
      <c r="A3254">
        <v>3248</v>
      </c>
      <c r="B3254">
        <v>98562</v>
      </c>
      <c r="C3254" t="s">
        <v>7083</v>
      </c>
      <c r="D3254" t="s">
        <v>209</v>
      </c>
      <c r="E3254" t="s">
        <v>7084</v>
      </c>
      <c r="F3254" t="str">
        <f>"00345971"</f>
        <v>00345971</v>
      </c>
      <c r="G3254" t="s">
        <v>170</v>
      </c>
      <c r="H3254" t="s">
        <v>20</v>
      </c>
      <c r="I3254">
        <v>1412</v>
      </c>
      <c r="J3254" t="s">
        <v>21</v>
      </c>
      <c r="K3254">
        <v>0</v>
      </c>
      <c r="L3254" t="s">
        <v>88</v>
      </c>
      <c r="M3254">
        <v>750</v>
      </c>
    </row>
    <row r="3255" spans="1:13">
      <c r="A3255">
        <v>3249</v>
      </c>
      <c r="B3255">
        <v>98115</v>
      </c>
      <c r="C3255" t="s">
        <v>7085</v>
      </c>
      <c r="D3255" t="s">
        <v>163</v>
      </c>
      <c r="E3255" t="s">
        <v>7086</v>
      </c>
      <c r="F3255" t="str">
        <f>"00375757"</f>
        <v>00375757</v>
      </c>
      <c r="G3255" t="s">
        <v>284</v>
      </c>
      <c r="H3255" t="s">
        <v>270</v>
      </c>
      <c r="I3255">
        <v>1586</v>
      </c>
      <c r="J3255" t="s">
        <v>21</v>
      </c>
      <c r="K3255">
        <v>0</v>
      </c>
      <c r="M3255">
        <v>1528</v>
      </c>
    </row>
    <row r="3256" spans="1:13">
      <c r="A3256">
        <v>3250</v>
      </c>
      <c r="B3256">
        <v>94890</v>
      </c>
      <c r="C3256" t="s">
        <v>7087</v>
      </c>
      <c r="D3256" t="s">
        <v>1474</v>
      </c>
      <c r="E3256" t="s">
        <v>7088</v>
      </c>
      <c r="F3256" t="str">
        <f>"00404523"</f>
        <v>00404523</v>
      </c>
      <c r="G3256" t="s">
        <v>380</v>
      </c>
      <c r="H3256" t="s">
        <v>137</v>
      </c>
      <c r="I3256">
        <v>1615</v>
      </c>
      <c r="J3256" t="s">
        <v>21</v>
      </c>
      <c r="K3256">
        <v>0</v>
      </c>
      <c r="L3256" t="s">
        <v>35</v>
      </c>
      <c r="M3256">
        <v>1108</v>
      </c>
    </row>
    <row r="3257" spans="1:13">
      <c r="A3257">
        <v>3251</v>
      </c>
      <c r="B3257">
        <v>76779</v>
      </c>
      <c r="C3257" t="s">
        <v>7089</v>
      </c>
      <c r="D3257" t="s">
        <v>373</v>
      </c>
      <c r="E3257" t="s">
        <v>7090</v>
      </c>
      <c r="F3257" t="str">
        <f>"201006000148"</f>
        <v>201006000148</v>
      </c>
      <c r="G3257" t="s">
        <v>47</v>
      </c>
      <c r="H3257" t="s">
        <v>48</v>
      </c>
      <c r="I3257">
        <v>1623</v>
      </c>
      <c r="J3257" t="s">
        <v>21</v>
      </c>
      <c r="K3257">
        <v>0</v>
      </c>
      <c r="M3257">
        <v>1378</v>
      </c>
    </row>
    <row r="3258" spans="1:13">
      <c r="A3258">
        <v>3252</v>
      </c>
      <c r="B3258">
        <v>67600</v>
      </c>
      <c r="C3258" t="s">
        <v>7091</v>
      </c>
      <c r="D3258" t="s">
        <v>7092</v>
      </c>
      <c r="E3258" t="s">
        <v>7093</v>
      </c>
      <c r="F3258" t="str">
        <f>"00399127"</f>
        <v>00399127</v>
      </c>
      <c r="G3258" t="s">
        <v>639</v>
      </c>
      <c r="H3258" t="s">
        <v>48</v>
      </c>
      <c r="I3258">
        <v>1629</v>
      </c>
      <c r="J3258" t="s">
        <v>21</v>
      </c>
      <c r="K3258">
        <v>0</v>
      </c>
      <c r="M3258">
        <v>1318</v>
      </c>
    </row>
    <row r="3259" spans="1:13">
      <c r="A3259">
        <v>3253</v>
      </c>
      <c r="B3259">
        <v>58176</v>
      </c>
      <c r="C3259" t="s">
        <v>7094</v>
      </c>
      <c r="D3259" t="s">
        <v>153</v>
      </c>
      <c r="E3259" t="s">
        <v>7095</v>
      </c>
      <c r="F3259" t="str">
        <f>"00046758"</f>
        <v>00046758</v>
      </c>
      <c r="G3259" t="s">
        <v>1561</v>
      </c>
      <c r="H3259" t="s">
        <v>20</v>
      </c>
      <c r="I3259">
        <v>1505</v>
      </c>
      <c r="J3259" t="s">
        <v>21</v>
      </c>
      <c r="K3259">
        <v>0</v>
      </c>
      <c r="M3259">
        <v>1655</v>
      </c>
    </row>
    <row r="3260" spans="1:13">
      <c r="A3260">
        <v>3254</v>
      </c>
      <c r="B3260">
        <v>93541</v>
      </c>
      <c r="C3260" t="s">
        <v>7096</v>
      </c>
      <c r="D3260" t="s">
        <v>163</v>
      </c>
      <c r="E3260" t="s">
        <v>7097</v>
      </c>
      <c r="F3260" t="str">
        <f>"00200090"</f>
        <v>00200090</v>
      </c>
      <c r="G3260" t="s">
        <v>718</v>
      </c>
      <c r="H3260" t="s">
        <v>48</v>
      </c>
      <c r="I3260">
        <v>1625</v>
      </c>
      <c r="J3260" t="s">
        <v>21</v>
      </c>
      <c r="K3260">
        <v>0</v>
      </c>
      <c r="L3260" t="s">
        <v>35</v>
      </c>
      <c r="M3260">
        <v>1108</v>
      </c>
    </row>
    <row r="3261" spans="1:13">
      <c r="A3261">
        <v>3255</v>
      </c>
      <c r="B3261">
        <v>87230</v>
      </c>
      <c r="C3261" t="s">
        <v>7098</v>
      </c>
      <c r="D3261" t="s">
        <v>153</v>
      </c>
      <c r="E3261" t="s">
        <v>7099</v>
      </c>
      <c r="F3261" t="str">
        <f>"00393526"</f>
        <v>00393526</v>
      </c>
      <c r="G3261" t="s">
        <v>284</v>
      </c>
      <c r="H3261" t="s">
        <v>270</v>
      </c>
      <c r="I3261">
        <v>1586</v>
      </c>
      <c r="J3261" t="s">
        <v>21</v>
      </c>
      <c r="K3261">
        <v>0</v>
      </c>
      <c r="M3261">
        <v>1368</v>
      </c>
    </row>
    <row r="3262" spans="1:13">
      <c r="A3262">
        <v>3256</v>
      </c>
      <c r="B3262">
        <v>91958</v>
      </c>
      <c r="C3262" t="s">
        <v>7100</v>
      </c>
      <c r="D3262" t="s">
        <v>243</v>
      </c>
      <c r="E3262" t="s">
        <v>7101</v>
      </c>
      <c r="F3262" t="str">
        <f>"00417476"</f>
        <v>00417476</v>
      </c>
      <c r="G3262" t="s">
        <v>1107</v>
      </c>
      <c r="H3262" t="s">
        <v>48</v>
      </c>
      <c r="I3262">
        <v>1626</v>
      </c>
      <c r="J3262" t="s">
        <v>21</v>
      </c>
      <c r="K3262">
        <v>0</v>
      </c>
      <c r="L3262" t="s">
        <v>83</v>
      </c>
      <c r="M3262">
        <v>1288</v>
      </c>
    </row>
    <row r="3263" spans="1:13">
      <c r="A3263">
        <v>3257</v>
      </c>
      <c r="B3263">
        <v>68075</v>
      </c>
      <c r="C3263" t="s">
        <v>7102</v>
      </c>
      <c r="D3263" t="s">
        <v>80</v>
      </c>
      <c r="E3263" t="s">
        <v>7103</v>
      </c>
      <c r="F3263" t="str">
        <f>"00372145"</f>
        <v>00372145</v>
      </c>
      <c r="G3263" t="s">
        <v>371</v>
      </c>
      <c r="H3263" t="s">
        <v>20</v>
      </c>
      <c r="I3263">
        <v>1526</v>
      </c>
      <c r="J3263" t="s">
        <v>21</v>
      </c>
      <c r="K3263">
        <v>6</v>
      </c>
      <c r="M3263">
        <v>1028</v>
      </c>
    </row>
    <row r="3264" spans="1:13">
      <c r="A3264">
        <v>3258</v>
      </c>
      <c r="B3264">
        <v>68617</v>
      </c>
      <c r="C3264" t="s">
        <v>7104</v>
      </c>
      <c r="D3264" t="s">
        <v>80</v>
      </c>
      <c r="E3264" t="s">
        <v>7105</v>
      </c>
      <c r="F3264" t="str">
        <f>"00100177"</f>
        <v>00100177</v>
      </c>
      <c r="G3264" t="s">
        <v>38</v>
      </c>
      <c r="H3264" t="s">
        <v>39</v>
      </c>
      <c r="I3264">
        <v>1634</v>
      </c>
      <c r="J3264" t="s">
        <v>21</v>
      </c>
      <c r="K3264">
        <v>6</v>
      </c>
      <c r="L3264" t="s">
        <v>59</v>
      </c>
      <c r="M3264">
        <v>434</v>
      </c>
    </row>
    <row r="3265" spans="1:13">
      <c r="A3265">
        <v>3259</v>
      </c>
      <c r="B3265">
        <v>108369</v>
      </c>
      <c r="C3265" t="s">
        <v>7106</v>
      </c>
      <c r="D3265" t="s">
        <v>563</v>
      </c>
      <c r="E3265" t="s">
        <v>7107</v>
      </c>
      <c r="F3265" t="str">
        <f>"00222784"</f>
        <v>00222784</v>
      </c>
      <c r="G3265" t="s">
        <v>96</v>
      </c>
      <c r="H3265" t="s">
        <v>20</v>
      </c>
      <c r="I3265">
        <v>1474</v>
      </c>
      <c r="J3265" t="s">
        <v>21</v>
      </c>
      <c r="K3265">
        <v>0</v>
      </c>
      <c r="M3265">
        <v>1688</v>
      </c>
    </row>
    <row r="3266" spans="1:13">
      <c r="A3266">
        <v>3260</v>
      </c>
      <c r="B3266">
        <v>103183</v>
      </c>
      <c r="C3266" t="s">
        <v>7108</v>
      </c>
      <c r="D3266" t="s">
        <v>563</v>
      </c>
      <c r="E3266" t="s">
        <v>7109</v>
      </c>
      <c r="F3266" t="str">
        <f>"00360716"</f>
        <v>00360716</v>
      </c>
      <c r="G3266" t="s">
        <v>107</v>
      </c>
      <c r="H3266" t="s">
        <v>20</v>
      </c>
      <c r="I3266">
        <v>1472</v>
      </c>
      <c r="J3266" t="s">
        <v>21</v>
      </c>
      <c r="K3266">
        <v>0</v>
      </c>
      <c r="L3266" t="s">
        <v>35</v>
      </c>
      <c r="M3266">
        <v>1300</v>
      </c>
    </row>
    <row r="3267" spans="1:13">
      <c r="A3267">
        <v>3261</v>
      </c>
      <c r="B3267">
        <v>59157</v>
      </c>
      <c r="C3267" t="s">
        <v>7110</v>
      </c>
      <c r="D3267" t="s">
        <v>180</v>
      </c>
      <c r="E3267" t="s">
        <v>7111</v>
      </c>
      <c r="F3267" t="str">
        <f>"00187890"</f>
        <v>00187890</v>
      </c>
      <c r="G3267" t="s">
        <v>1869</v>
      </c>
      <c r="H3267" t="s">
        <v>20</v>
      </c>
      <c r="I3267">
        <v>1473</v>
      </c>
      <c r="J3267" t="s">
        <v>21</v>
      </c>
      <c r="K3267">
        <v>0</v>
      </c>
      <c r="M3267">
        <v>1488</v>
      </c>
    </row>
    <row r="3268" spans="1:13">
      <c r="A3268">
        <v>3262</v>
      </c>
      <c r="B3268">
        <v>104706</v>
      </c>
      <c r="C3268" t="s">
        <v>7112</v>
      </c>
      <c r="D3268" t="s">
        <v>80</v>
      </c>
      <c r="E3268" t="s">
        <v>7113</v>
      </c>
      <c r="F3268" t="str">
        <f>"00369138"</f>
        <v>00369138</v>
      </c>
      <c r="G3268" t="s">
        <v>19</v>
      </c>
      <c r="H3268" t="s">
        <v>20</v>
      </c>
      <c r="I3268">
        <v>1531</v>
      </c>
      <c r="J3268" t="s">
        <v>21</v>
      </c>
      <c r="K3268">
        <v>0</v>
      </c>
      <c r="L3268" t="s">
        <v>35</v>
      </c>
      <c r="M3268">
        <v>940</v>
      </c>
    </row>
    <row r="3269" spans="1:13">
      <c r="A3269">
        <v>3263</v>
      </c>
      <c r="B3269">
        <v>48441</v>
      </c>
      <c r="C3269" t="s">
        <v>7114</v>
      </c>
      <c r="D3269" t="s">
        <v>180</v>
      </c>
      <c r="E3269" t="s">
        <v>7115</v>
      </c>
      <c r="F3269" t="str">
        <f>"00357296"</f>
        <v>00357296</v>
      </c>
      <c r="G3269" t="s">
        <v>38</v>
      </c>
      <c r="H3269" t="s">
        <v>39</v>
      </c>
      <c r="I3269">
        <v>1634</v>
      </c>
      <c r="J3269" t="s">
        <v>21</v>
      </c>
      <c r="K3269">
        <v>0</v>
      </c>
      <c r="L3269" t="s">
        <v>59</v>
      </c>
      <c r="M3269">
        <v>838</v>
      </c>
    </row>
    <row r="3270" spans="1:13">
      <c r="A3270">
        <v>3264</v>
      </c>
      <c r="B3270">
        <v>109371</v>
      </c>
      <c r="C3270" t="s">
        <v>7116</v>
      </c>
      <c r="D3270" t="s">
        <v>80</v>
      </c>
      <c r="E3270" t="s">
        <v>7117</v>
      </c>
      <c r="F3270" t="str">
        <f>"00420152"</f>
        <v>00420152</v>
      </c>
      <c r="G3270" t="s">
        <v>2145</v>
      </c>
      <c r="H3270" t="s">
        <v>366</v>
      </c>
      <c r="I3270">
        <v>1693</v>
      </c>
      <c r="J3270" t="s">
        <v>21</v>
      </c>
      <c r="K3270">
        <v>6</v>
      </c>
      <c r="L3270" t="s">
        <v>35</v>
      </c>
      <c r="M3270">
        <v>908</v>
      </c>
    </row>
    <row r="3271" spans="1:13">
      <c r="A3271">
        <v>3265</v>
      </c>
      <c r="B3271">
        <v>85669</v>
      </c>
      <c r="C3271" t="s">
        <v>7118</v>
      </c>
      <c r="D3271" t="s">
        <v>76</v>
      </c>
      <c r="E3271" t="s">
        <v>7119</v>
      </c>
      <c r="F3271" t="str">
        <f>"00340694"</f>
        <v>00340694</v>
      </c>
      <c r="G3271" t="s">
        <v>1203</v>
      </c>
      <c r="H3271" t="s">
        <v>20</v>
      </c>
      <c r="I3271">
        <v>1443</v>
      </c>
      <c r="J3271" t="s">
        <v>21</v>
      </c>
      <c r="K3271">
        <v>0</v>
      </c>
      <c r="M3271">
        <v>1612</v>
      </c>
    </row>
    <row r="3272" spans="1:13">
      <c r="A3272">
        <v>3266</v>
      </c>
      <c r="B3272">
        <v>112834</v>
      </c>
      <c r="C3272" t="s">
        <v>7120</v>
      </c>
      <c r="D3272" t="s">
        <v>213</v>
      </c>
      <c r="E3272" t="s">
        <v>7121</v>
      </c>
      <c r="F3272" t="str">
        <f>"00351268"</f>
        <v>00351268</v>
      </c>
      <c r="G3272" t="s">
        <v>713</v>
      </c>
      <c r="H3272" t="s">
        <v>366</v>
      </c>
      <c r="I3272">
        <v>1690</v>
      </c>
      <c r="J3272" t="s">
        <v>21</v>
      </c>
      <c r="K3272">
        <v>0</v>
      </c>
      <c r="L3272" t="s">
        <v>35</v>
      </c>
      <c r="M3272">
        <v>1189</v>
      </c>
    </row>
    <row r="3273" spans="1:13">
      <c r="A3273">
        <v>3267</v>
      </c>
      <c r="B3273">
        <v>61327</v>
      </c>
      <c r="C3273" t="s">
        <v>7122</v>
      </c>
      <c r="D3273" t="s">
        <v>213</v>
      </c>
      <c r="E3273" t="s">
        <v>7123</v>
      </c>
      <c r="F3273" t="str">
        <f>"00356646"</f>
        <v>00356646</v>
      </c>
      <c r="G3273" t="s">
        <v>488</v>
      </c>
      <c r="H3273" t="s">
        <v>20</v>
      </c>
      <c r="I3273">
        <v>1482</v>
      </c>
      <c r="J3273" t="s">
        <v>21</v>
      </c>
      <c r="K3273">
        <v>0</v>
      </c>
      <c r="M3273">
        <v>1363</v>
      </c>
    </row>
    <row r="3274" spans="1:13">
      <c r="A3274">
        <v>3268</v>
      </c>
      <c r="B3274">
        <v>51051</v>
      </c>
      <c r="C3274" t="s">
        <v>7124</v>
      </c>
      <c r="D3274" t="s">
        <v>130</v>
      </c>
      <c r="E3274" t="s">
        <v>7125</v>
      </c>
      <c r="F3274" t="str">
        <f>"00252385"</f>
        <v>00252385</v>
      </c>
      <c r="G3274" t="s">
        <v>325</v>
      </c>
      <c r="H3274" t="s">
        <v>326</v>
      </c>
      <c r="I3274">
        <v>1592</v>
      </c>
      <c r="J3274" t="s">
        <v>21</v>
      </c>
      <c r="K3274">
        <v>0</v>
      </c>
      <c r="L3274" t="s">
        <v>35</v>
      </c>
      <c r="M3274">
        <v>1108</v>
      </c>
    </row>
    <row r="3275" spans="1:13">
      <c r="A3275">
        <v>3269</v>
      </c>
      <c r="B3275">
        <v>61411</v>
      </c>
      <c r="C3275" t="s">
        <v>7126</v>
      </c>
      <c r="D3275" t="s">
        <v>7127</v>
      </c>
      <c r="E3275" t="s">
        <v>7128</v>
      </c>
      <c r="F3275" t="str">
        <f>"201511010164"</f>
        <v>201511010164</v>
      </c>
      <c r="G3275" t="s">
        <v>245</v>
      </c>
      <c r="H3275" t="s">
        <v>20</v>
      </c>
      <c r="I3275">
        <v>1406</v>
      </c>
      <c r="J3275" t="s">
        <v>21</v>
      </c>
      <c r="K3275">
        <v>0</v>
      </c>
      <c r="L3275" t="s">
        <v>35</v>
      </c>
      <c r="M3275">
        <v>1100</v>
      </c>
    </row>
    <row r="3276" spans="1:13">
      <c r="A3276">
        <v>3270</v>
      </c>
      <c r="B3276">
        <v>51782</v>
      </c>
      <c r="C3276" t="s">
        <v>7129</v>
      </c>
      <c r="D3276" t="s">
        <v>76</v>
      </c>
      <c r="E3276" t="s">
        <v>7130</v>
      </c>
      <c r="F3276" t="str">
        <f>"00275769"</f>
        <v>00275769</v>
      </c>
      <c r="G3276" t="s">
        <v>2768</v>
      </c>
      <c r="H3276" t="s">
        <v>20</v>
      </c>
      <c r="I3276">
        <v>1409</v>
      </c>
      <c r="J3276" t="s">
        <v>21</v>
      </c>
      <c r="K3276">
        <v>0</v>
      </c>
      <c r="L3276" t="s">
        <v>83</v>
      </c>
      <c r="M3276">
        <v>1199</v>
      </c>
    </row>
    <row r="3277" spans="1:13">
      <c r="A3277">
        <v>3271</v>
      </c>
      <c r="B3277">
        <v>59971</v>
      </c>
      <c r="C3277" t="s">
        <v>7131</v>
      </c>
      <c r="D3277" t="s">
        <v>228</v>
      </c>
      <c r="E3277" t="s">
        <v>7132</v>
      </c>
      <c r="F3277" t="str">
        <f>"00356861"</f>
        <v>00356861</v>
      </c>
      <c r="G3277" t="s">
        <v>713</v>
      </c>
      <c r="H3277" t="s">
        <v>366</v>
      </c>
      <c r="I3277">
        <v>1690</v>
      </c>
      <c r="J3277" t="s">
        <v>21</v>
      </c>
      <c r="K3277">
        <v>0</v>
      </c>
      <c r="L3277" t="s">
        <v>35</v>
      </c>
      <c r="M3277">
        <v>1083</v>
      </c>
    </row>
    <row r="3278" spans="1:13">
      <c r="A3278">
        <v>3272</v>
      </c>
      <c r="B3278">
        <v>95288</v>
      </c>
      <c r="C3278" t="s">
        <v>7133</v>
      </c>
      <c r="D3278" t="s">
        <v>80</v>
      </c>
      <c r="E3278" t="s">
        <v>7134</v>
      </c>
      <c r="F3278" t="str">
        <f>"00418284"</f>
        <v>00418284</v>
      </c>
      <c r="G3278" t="s">
        <v>307</v>
      </c>
      <c r="H3278" t="s">
        <v>308</v>
      </c>
      <c r="I3278">
        <v>1589</v>
      </c>
      <c r="J3278" t="s">
        <v>21</v>
      </c>
      <c r="K3278">
        <v>0</v>
      </c>
      <c r="L3278" t="s">
        <v>35</v>
      </c>
      <c r="M3278">
        <v>850</v>
      </c>
    </row>
    <row r="3279" spans="1:13">
      <c r="A3279">
        <v>3273</v>
      </c>
      <c r="B3279">
        <v>86903</v>
      </c>
      <c r="C3279" t="s">
        <v>7135</v>
      </c>
      <c r="D3279" t="s">
        <v>700</v>
      </c>
      <c r="E3279" t="s">
        <v>7136</v>
      </c>
      <c r="F3279" t="str">
        <f>"00398823"</f>
        <v>00398823</v>
      </c>
      <c r="G3279" t="s">
        <v>150</v>
      </c>
      <c r="H3279" t="s">
        <v>151</v>
      </c>
      <c r="I3279">
        <v>1699</v>
      </c>
      <c r="J3279" t="s">
        <v>21</v>
      </c>
      <c r="K3279">
        <v>0</v>
      </c>
      <c r="L3279" t="s">
        <v>35</v>
      </c>
      <c r="M3279">
        <v>908</v>
      </c>
    </row>
    <row r="3280" spans="1:13">
      <c r="A3280">
        <v>3274</v>
      </c>
      <c r="B3280">
        <v>96028</v>
      </c>
      <c r="C3280" t="s">
        <v>7137</v>
      </c>
      <c r="D3280" t="s">
        <v>209</v>
      </c>
      <c r="E3280" t="s">
        <v>7138</v>
      </c>
      <c r="F3280" t="str">
        <f>"00081879"</f>
        <v>00081879</v>
      </c>
      <c r="G3280" t="s">
        <v>1125</v>
      </c>
      <c r="H3280" t="s">
        <v>20</v>
      </c>
      <c r="I3280">
        <v>1431</v>
      </c>
      <c r="J3280" t="s">
        <v>21</v>
      </c>
      <c r="K3280">
        <v>0</v>
      </c>
      <c r="M3280">
        <v>1528</v>
      </c>
    </row>
    <row r="3281" spans="1:13">
      <c r="A3281">
        <v>3275</v>
      </c>
      <c r="B3281">
        <v>99659</v>
      </c>
      <c r="C3281" t="s">
        <v>7139</v>
      </c>
      <c r="D3281" t="s">
        <v>5275</v>
      </c>
      <c r="E3281" t="s">
        <v>7140</v>
      </c>
      <c r="F3281" t="str">
        <f>"00346966"</f>
        <v>00346966</v>
      </c>
      <c r="G3281" t="s">
        <v>2369</v>
      </c>
      <c r="H3281" t="s">
        <v>241</v>
      </c>
      <c r="I3281">
        <v>1364</v>
      </c>
      <c r="J3281" t="s">
        <v>21</v>
      </c>
      <c r="K3281">
        <v>6</v>
      </c>
      <c r="M3281">
        <v>1428</v>
      </c>
    </row>
    <row r="3282" spans="1:13">
      <c r="A3282">
        <v>3276</v>
      </c>
      <c r="B3282">
        <v>78407</v>
      </c>
      <c r="C3282" t="s">
        <v>7141</v>
      </c>
      <c r="D3282" t="s">
        <v>180</v>
      </c>
      <c r="E3282" t="s">
        <v>7142</v>
      </c>
      <c r="F3282" t="str">
        <f>"00400392"</f>
        <v>00400392</v>
      </c>
      <c r="G3282" t="s">
        <v>215</v>
      </c>
      <c r="H3282" t="s">
        <v>216</v>
      </c>
      <c r="I3282">
        <v>1708</v>
      </c>
      <c r="J3282" t="s">
        <v>21</v>
      </c>
      <c r="K3282">
        <v>6</v>
      </c>
      <c r="L3282" t="s">
        <v>35</v>
      </c>
      <c r="M3282">
        <v>900</v>
      </c>
    </row>
    <row r="3283" spans="1:13">
      <c r="A3283">
        <v>3277</v>
      </c>
      <c r="B3283">
        <v>74810</v>
      </c>
      <c r="C3283" t="s">
        <v>7143</v>
      </c>
      <c r="D3283" t="s">
        <v>145</v>
      </c>
      <c r="E3283" t="s">
        <v>7144</v>
      </c>
      <c r="F3283" t="str">
        <f>"00370957"</f>
        <v>00370957</v>
      </c>
      <c r="G3283" t="s">
        <v>155</v>
      </c>
      <c r="H3283" t="s">
        <v>156</v>
      </c>
      <c r="I3283">
        <v>1342</v>
      </c>
      <c r="J3283" t="s">
        <v>21</v>
      </c>
      <c r="K3283">
        <v>0</v>
      </c>
      <c r="L3283" t="s">
        <v>35</v>
      </c>
      <c r="M3283">
        <v>1100</v>
      </c>
    </row>
    <row r="3284" spans="1:13">
      <c r="A3284">
        <v>3278</v>
      </c>
      <c r="B3284">
        <v>88360</v>
      </c>
      <c r="C3284" t="s">
        <v>7145</v>
      </c>
      <c r="D3284" t="s">
        <v>288</v>
      </c>
      <c r="E3284" t="s">
        <v>7146</v>
      </c>
      <c r="F3284" t="str">
        <f>"00263866"</f>
        <v>00263866</v>
      </c>
      <c r="G3284" t="s">
        <v>721</v>
      </c>
      <c r="H3284" t="s">
        <v>20</v>
      </c>
      <c r="I3284">
        <v>1575</v>
      </c>
      <c r="J3284" t="s">
        <v>21</v>
      </c>
      <c r="K3284">
        <v>0</v>
      </c>
      <c r="L3284" t="s">
        <v>35</v>
      </c>
      <c r="M3284">
        <v>1000</v>
      </c>
    </row>
    <row r="3285" spans="1:13">
      <c r="A3285">
        <v>3279</v>
      </c>
      <c r="B3285">
        <v>57928</v>
      </c>
      <c r="C3285" t="s">
        <v>7147</v>
      </c>
      <c r="D3285" t="s">
        <v>205</v>
      </c>
      <c r="E3285" t="s">
        <v>7148</v>
      </c>
      <c r="F3285" t="str">
        <f>"201511016550"</f>
        <v>201511016550</v>
      </c>
      <c r="G3285" t="s">
        <v>107</v>
      </c>
      <c r="H3285" t="s">
        <v>20</v>
      </c>
      <c r="I3285">
        <v>1472</v>
      </c>
      <c r="J3285" t="s">
        <v>21</v>
      </c>
      <c r="K3285">
        <v>0</v>
      </c>
      <c r="M3285">
        <v>1400</v>
      </c>
    </row>
    <row r="3286" spans="1:13">
      <c r="A3286">
        <v>3280</v>
      </c>
      <c r="B3286">
        <v>82397</v>
      </c>
      <c r="C3286" t="s">
        <v>7149</v>
      </c>
      <c r="D3286" t="s">
        <v>3229</v>
      </c>
      <c r="E3286" t="s">
        <v>7150</v>
      </c>
      <c r="F3286" t="str">
        <f>"00388589"</f>
        <v>00388589</v>
      </c>
      <c r="G3286" t="s">
        <v>258</v>
      </c>
      <c r="H3286" t="s">
        <v>20</v>
      </c>
      <c r="I3286">
        <v>1484</v>
      </c>
      <c r="J3286" t="s">
        <v>21</v>
      </c>
      <c r="K3286">
        <v>0</v>
      </c>
      <c r="L3286" t="s">
        <v>35</v>
      </c>
      <c r="M3286">
        <v>1000</v>
      </c>
    </row>
    <row r="3287" spans="1:13">
      <c r="A3287">
        <v>3281</v>
      </c>
      <c r="B3287">
        <v>89808</v>
      </c>
      <c r="C3287" t="s">
        <v>7151</v>
      </c>
      <c r="D3287" t="s">
        <v>105</v>
      </c>
      <c r="E3287" t="s">
        <v>7152</v>
      </c>
      <c r="F3287" t="str">
        <f>"201511039468"</f>
        <v>201511039468</v>
      </c>
      <c r="G3287" t="s">
        <v>230</v>
      </c>
      <c r="H3287" t="s">
        <v>20</v>
      </c>
      <c r="I3287">
        <v>1545</v>
      </c>
      <c r="J3287" t="s">
        <v>21</v>
      </c>
      <c r="K3287">
        <v>0</v>
      </c>
      <c r="M3287">
        <v>1628</v>
      </c>
    </row>
    <row r="3288" spans="1:13">
      <c r="A3288">
        <v>3282</v>
      </c>
      <c r="B3288">
        <v>52220</v>
      </c>
      <c r="C3288" t="s">
        <v>7153</v>
      </c>
      <c r="D3288" t="s">
        <v>94</v>
      </c>
      <c r="E3288" t="s">
        <v>7154</v>
      </c>
      <c r="F3288" t="str">
        <f>"00366775"</f>
        <v>00366775</v>
      </c>
      <c r="G3288" t="s">
        <v>19</v>
      </c>
      <c r="H3288" t="s">
        <v>20</v>
      </c>
      <c r="I3288">
        <v>1531</v>
      </c>
      <c r="J3288" t="s">
        <v>21</v>
      </c>
      <c r="K3288">
        <v>0</v>
      </c>
      <c r="L3288" t="s">
        <v>35</v>
      </c>
      <c r="M3288">
        <v>906</v>
      </c>
    </row>
    <row r="3289" spans="1:13">
      <c r="A3289">
        <v>3283</v>
      </c>
      <c r="B3289">
        <v>116732</v>
      </c>
      <c r="C3289" t="s">
        <v>7155</v>
      </c>
      <c r="D3289" t="s">
        <v>76</v>
      </c>
      <c r="E3289" t="s">
        <v>7156</v>
      </c>
      <c r="F3289" t="str">
        <f>"00152935"</f>
        <v>00152935</v>
      </c>
      <c r="G3289" t="s">
        <v>47</v>
      </c>
      <c r="H3289" t="s">
        <v>48</v>
      </c>
      <c r="I3289">
        <v>1623</v>
      </c>
      <c r="J3289" t="s">
        <v>21</v>
      </c>
      <c r="K3289">
        <v>0</v>
      </c>
      <c r="L3289" t="s">
        <v>88</v>
      </c>
      <c r="M3289">
        <v>700</v>
      </c>
    </row>
    <row r="3290" spans="1:13">
      <c r="A3290">
        <v>3284</v>
      </c>
      <c r="B3290">
        <v>65427</v>
      </c>
      <c r="C3290" t="s">
        <v>7157</v>
      </c>
      <c r="D3290" t="s">
        <v>102</v>
      </c>
      <c r="E3290" t="s">
        <v>7158</v>
      </c>
      <c r="F3290" t="str">
        <f>"00349599"</f>
        <v>00349599</v>
      </c>
      <c r="G3290" t="s">
        <v>92</v>
      </c>
      <c r="H3290" t="s">
        <v>780</v>
      </c>
      <c r="I3290">
        <v>1402</v>
      </c>
      <c r="J3290" t="s">
        <v>21</v>
      </c>
      <c r="K3290">
        <v>0</v>
      </c>
      <c r="M3290">
        <v>1778</v>
      </c>
    </row>
    <row r="3291" spans="1:13">
      <c r="A3291">
        <v>3285</v>
      </c>
      <c r="B3291">
        <v>64127</v>
      </c>
      <c r="C3291" t="s">
        <v>7159</v>
      </c>
      <c r="D3291" t="s">
        <v>105</v>
      </c>
      <c r="E3291" t="s">
        <v>7160</v>
      </c>
      <c r="F3291" t="str">
        <f>"00083312"</f>
        <v>00083312</v>
      </c>
      <c r="G3291" t="s">
        <v>19</v>
      </c>
      <c r="H3291" t="s">
        <v>20</v>
      </c>
      <c r="I3291">
        <v>1531</v>
      </c>
      <c r="J3291" t="s">
        <v>21</v>
      </c>
      <c r="K3291">
        <v>0</v>
      </c>
      <c r="M3291">
        <v>1338</v>
      </c>
    </row>
    <row r="3292" spans="1:13">
      <c r="A3292">
        <v>3286</v>
      </c>
      <c r="B3292">
        <v>92569</v>
      </c>
      <c r="C3292" t="s">
        <v>7161</v>
      </c>
      <c r="D3292" t="s">
        <v>198</v>
      </c>
      <c r="E3292" t="s">
        <v>7162</v>
      </c>
      <c r="F3292" t="str">
        <f>"201511038165"</f>
        <v>201511038165</v>
      </c>
      <c r="G3292" t="s">
        <v>371</v>
      </c>
      <c r="H3292" t="s">
        <v>20</v>
      </c>
      <c r="I3292">
        <v>1526</v>
      </c>
      <c r="J3292" t="s">
        <v>21</v>
      </c>
      <c r="K3292">
        <v>6</v>
      </c>
      <c r="L3292" t="s">
        <v>401</v>
      </c>
      <c r="M3292">
        <v>788</v>
      </c>
    </row>
    <row r="3293" spans="1:13">
      <c r="A3293">
        <v>3287</v>
      </c>
      <c r="B3293">
        <v>87903</v>
      </c>
      <c r="C3293" t="s">
        <v>7163</v>
      </c>
      <c r="D3293" t="s">
        <v>76</v>
      </c>
      <c r="E3293" t="s">
        <v>7164</v>
      </c>
      <c r="F3293" t="str">
        <f>"00405269"</f>
        <v>00405269</v>
      </c>
      <c r="G3293" t="s">
        <v>92</v>
      </c>
      <c r="H3293" t="s">
        <v>20</v>
      </c>
      <c r="I3293">
        <v>1425</v>
      </c>
      <c r="J3293" t="s">
        <v>21</v>
      </c>
      <c r="K3293">
        <v>0</v>
      </c>
      <c r="L3293" t="s">
        <v>88</v>
      </c>
      <c r="M3293">
        <v>1035</v>
      </c>
    </row>
    <row r="3294" spans="1:13">
      <c r="A3294">
        <v>3288</v>
      </c>
      <c r="B3294">
        <v>94168</v>
      </c>
      <c r="C3294" t="s">
        <v>7165</v>
      </c>
      <c r="D3294" t="s">
        <v>180</v>
      </c>
      <c r="E3294" t="s">
        <v>7166</v>
      </c>
      <c r="F3294" t="str">
        <f>"00388822"</f>
        <v>00388822</v>
      </c>
      <c r="G3294" t="s">
        <v>29</v>
      </c>
      <c r="H3294" t="s">
        <v>20</v>
      </c>
      <c r="I3294">
        <v>1446</v>
      </c>
      <c r="J3294" t="s">
        <v>21</v>
      </c>
      <c r="K3294">
        <v>0</v>
      </c>
      <c r="L3294" t="s">
        <v>35</v>
      </c>
      <c r="M3294">
        <v>1100</v>
      </c>
    </row>
    <row r="3295" spans="1:13">
      <c r="A3295">
        <v>3289</v>
      </c>
      <c r="B3295">
        <v>61578</v>
      </c>
      <c r="C3295" t="s">
        <v>7167</v>
      </c>
      <c r="D3295" t="s">
        <v>249</v>
      </c>
      <c r="E3295" t="s">
        <v>7168</v>
      </c>
      <c r="F3295" t="str">
        <f>"00234387"</f>
        <v>00234387</v>
      </c>
      <c r="G3295" t="s">
        <v>47</v>
      </c>
      <c r="H3295" t="s">
        <v>48</v>
      </c>
      <c r="I3295">
        <v>1623</v>
      </c>
      <c r="J3295" t="s">
        <v>21</v>
      </c>
      <c r="K3295">
        <v>0</v>
      </c>
      <c r="L3295" t="s">
        <v>35</v>
      </c>
      <c r="M3295">
        <v>971</v>
      </c>
    </row>
    <row r="3296" spans="1:13">
      <c r="A3296">
        <v>3290</v>
      </c>
      <c r="B3296">
        <v>77736</v>
      </c>
      <c r="C3296" t="s">
        <v>7169</v>
      </c>
      <c r="D3296" t="s">
        <v>90</v>
      </c>
      <c r="E3296" t="s">
        <v>7170</v>
      </c>
      <c r="F3296" t="str">
        <f>"00387532"</f>
        <v>00387532</v>
      </c>
      <c r="G3296" t="s">
        <v>834</v>
      </c>
      <c r="H3296" t="s">
        <v>20</v>
      </c>
      <c r="I3296">
        <v>1416</v>
      </c>
      <c r="J3296" t="s">
        <v>21</v>
      </c>
      <c r="K3296">
        <v>0</v>
      </c>
      <c r="M3296">
        <v>1338</v>
      </c>
    </row>
    <row r="3297" spans="1:13">
      <c r="A3297">
        <v>3291</v>
      </c>
      <c r="B3297">
        <v>94559</v>
      </c>
      <c r="C3297" t="s">
        <v>7171</v>
      </c>
      <c r="D3297" t="s">
        <v>76</v>
      </c>
      <c r="E3297" t="s">
        <v>7172</v>
      </c>
      <c r="F3297" t="str">
        <f>"00295365"</f>
        <v>00295365</v>
      </c>
      <c r="G3297" t="s">
        <v>511</v>
      </c>
      <c r="H3297" t="s">
        <v>3640</v>
      </c>
      <c r="I3297">
        <v>1713</v>
      </c>
      <c r="J3297" t="s">
        <v>21</v>
      </c>
      <c r="K3297">
        <v>6</v>
      </c>
      <c r="M3297">
        <v>1468</v>
      </c>
    </row>
    <row r="3298" spans="1:13">
      <c r="A3298">
        <v>3292</v>
      </c>
      <c r="B3298">
        <v>64190</v>
      </c>
      <c r="C3298" t="s">
        <v>7173</v>
      </c>
      <c r="D3298" t="s">
        <v>80</v>
      </c>
      <c r="E3298" t="s">
        <v>7174</v>
      </c>
      <c r="F3298" t="str">
        <f>"00354651"</f>
        <v>00354651</v>
      </c>
      <c r="G3298" t="s">
        <v>763</v>
      </c>
      <c r="H3298" t="s">
        <v>20</v>
      </c>
      <c r="I3298">
        <v>1430</v>
      </c>
      <c r="J3298" t="s">
        <v>21</v>
      </c>
      <c r="K3298">
        <v>0</v>
      </c>
      <c r="L3298" t="s">
        <v>59</v>
      </c>
      <c r="M3298">
        <v>1206</v>
      </c>
    </row>
    <row r="3299" spans="1:13">
      <c r="A3299">
        <v>3293</v>
      </c>
      <c r="B3299">
        <v>86391</v>
      </c>
      <c r="C3299" t="s">
        <v>7175</v>
      </c>
      <c r="D3299" t="s">
        <v>205</v>
      </c>
      <c r="E3299" t="s">
        <v>7176</v>
      </c>
      <c r="F3299" t="str">
        <f>"00368323"</f>
        <v>00368323</v>
      </c>
      <c r="G3299" t="s">
        <v>2465</v>
      </c>
      <c r="H3299" t="s">
        <v>20</v>
      </c>
      <c r="I3299">
        <v>1458</v>
      </c>
      <c r="J3299" t="s">
        <v>21</v>
      </c>
      <c r="K3299">
        <v>0</v>
      </c>
      <c r="M3299">
        <v>1588</v>
      </c>
    </row>
    <row r="3300" spans="1:13">
      <c r="A3300">
        <v>3294</v>
      </c>
      <c r="B3300">
        <v>82848</v>
      </c>
      <c r="C3300" t="s">
        <v>7177</v>
      </c>
      <c r="D3300" t="s">
        <v>121</v>
      </c>
      <c r="E3300" t="s">
        <v>7178</v>
      </c>
      <c r="F3300" t="str">
        <f>"00251452"</f>
        <v>00251452</v>
      </c>
      <c r="G3300" t="s">
        <v>600</v>
      </c>
      <c r="H3300" t="s">
        <v>366</v>
      </c>
      <c r="I3300">
        <v>1694</v>
      </c>
      <c r="J3300" t="s">
        <v>21</v>
      </c>
      <c r="K3300">
        <v>0</v>
      </c>
      <c r="L3300" t="s">
        <v>59</v>
      </c>
      <c r="M3300">
        <v>1088</v>
      </c>
    </row>
    <row r="3301" spans="1:13">
      <c r="A3301">
        <v>3295</v>
      </c>
      <c r="B3301">
        <v>85583</v>
      </c>
      <c r="C3301" t="s">
        <v>7179</v>
      </c>
      <c r="D3301" t="s">
        <v>121</v>
      </c>
      <c r="E3301" t="s">
        <v>7180</v>
      </c>
      <c r="F3301" t="str">
        <f>"00404999"</f>
        <v>00404999</v>
      </c>
      <c r="G3301" t="s">
        <v>233</v>
      </c>
      <c r="H3301" t="s">
        <v>3186</v>
      </c>
      <c r="I3301">
        <v>1660</v>
      </c>
      <c r="J3301" t="s">
        <v>21</v>
      </c>
      <c r="K3301">
        <v>6</v>
      </c>
      <c r="L3301" t="s">
        <v>35</v>
      </c>
      <c r="M3301">
        <v>575</v>
      </c>
    </row>
    <row r="3302" spans="1:13">
      <c r="A3302">
        <v>3296</v>
      </c>
      <c r="B3302">
        <v>49884</v>
      </c>
      <c r="C3302" t="s">
        <v>7181</v>
      </c>
      <c r="D3302" t="s">
        <v>243</v>
      </c>
      <c r="E3302" t="s">
        <v>7182</v>
      </c>
      <c r="F3302" t="str">
        <f>"00252785"</f>
        <v>00252785</v>
      </c>
      <c r="G3302" t="s">
        <v>150</v>
      </c>
      <c r="H3302" t="s">
        <v>151</v>
      </c>
      <c r="I3302">
        <v>1699</v>
      </c>
      <c r="J3302" t="s">
        <v>21</v>
      </c>
      <c r="K3302">
        <v>0</v>
      </c>
      <c r="L3302" t="s">
        <v>88</v>
      </c>
      <c r="M3302">
        <v>475</v>
      </c>
    </row>
    <row r="3303" spans="1:13">
      <c r="A3303">
        <v>3297</v>
      </c>
      <c r="B3303">
        <v>85275</v>
      </c>
      <c r="C3303" t="s">
        <v>7181</v>
      </c>
      <c r="D3303" t="s">
        <v>163</v>
      </c>
      <c r="E3303" t="s">
        <v>7183</v>
      </c>
      <c r="F3303" t="str">
        <f>"00385957"</f>
        <v>00385957</v>
      </c>
      <c r="G3303" t="s">
        <v>47</v>
      </c>
      <c r="H3303" t="s">
        <v>48</v>
      </c>
      <c r="I3303">
        <v>1623</v>
      </c>
      <c r="J3303" t="s">
        <v>21</v>
      </c>
      <c r="K3303">
        <v>0</v>
      </c>
      <c r="L3303" t="s">
        <v>112</v>
      </c>
      <c r="M3303">
        <v>775</v>
      </c>
    </row>
    <row r="3304" spans="1:13">
      <c r="A3304">
        <v>3298</v>
      </c>
      <c r="B3304">
        <v>93305</v>
      </c>
      <c r="C3304" t="s">
        <v>7184</v>
      </c>
      <c r="D3304" t="s">
        <v>130</v>
      </c>
      <c r="E3304" t="s">
        <v>7185</v>
      </c>
      <c r="F3304" t="str">
        <f>"201604004380"</f>
        <v>201604004380</v>
      </c>
      <c r="G3304" t="s">
        <v>341</v>
      </c>
      <c r="H3304" t="s">
        <v>20</v>
      </c>
      <c r="I3304">
        <v>1553</v>
      </c>
      <c r="J3304" t="s">
        <v>21</v>
      </c>
      <c r="K3304">
        <v>6</v>
      </c>
      <c r="M3304">
        <v>1667</v>
      </c>
    </row>
    <row r="3305" spans="1:13">
      <c r="A3305">
        <v>3299</v>
      </c>
      <c r="B3305">
        <v>70020</v>
      </c>
      <c r="C3305" t="s">
        <v>7186</v>
      </c>
      <c r="D3305" t="s">
        <v>76</v>
      </c>
      <c r="E3305" t="s">
        <v>7187</v>
      </c>
      <c r="F3305" t="str">
        <f>"00375641"</f>
        <v>00375641</v>
      </c>
      <c r="G3305" t="s">
        <v>47</v>
      </c>
      <c r="H3305" t="s">
        <v>48</v>
      </c>
      <c r="I3305">
        <v>1623</v>
      </c>
      <c r="J3305" t="s">
        <v>21</v>
      </c>
      <c r="K3305">
        <v>0</v>
      </c>
      <c r="L3305" t="s">
        <v>112</v>
      </c>
      <c r="M3305">
        <v>785</v>
      </c>
    </row>
    <row r="3306" spans="1:13">
      <c r="A3306">
        <v>3300</v>
      </c>
      <c r="B3306">
        <v>50632</v>
      </c>
      <c r="C3306" t="s">
        <v>7186</v>
      </c>
      <c r="D3306" t="s">
        <v>145</v>
      </c>
      <c r="E3306" t="s">
        <v>7188</v>
      </c>
      <c r="F3306" t="str">
        <f>"00070990"</f>
        <v>00070990</v>
      </c>
      <c r="G3306" t="s">
        <v>19</v>
      </c>
      <c r="H3306" t="s">
        <v>20</v>
      </c>
      <c r="I3306">
        <v>1531</v>
      </c>
      <c r="J3306" t="s">
        <v>21</v>
      </c>
      <c r="K3306">
        <v>0</v>
      </c>
      <c r="L3306" t="s">
        <v>112</v>
      </c>
      <c r="M3306">
        <v>800</v>
      </c>
    </row>
    <row r="3307" spans="1:13">
      <c r="A3307">
        <v>3301</v>
      </c>
      <c r="B3307">
        <v>86875</v>
      </c>
      <c r="C3307" t="s">
        <v>7189</v>
      </c>
      <c r="D3307" t="s">
        <v>2021</v>
      </c>
      <c r="E3307" t="s">
        <v>7190</v>
      </c>
      <c r="F3307" t="str">
        <f>"00363814"</f>
        <v>00363814</v>
      </c>
      <c r="G3307" t="s">
        <v>3425</v>
      </c>
      <c r="H3307" t="s">
        <v>20</v>
      </c>
      <c r="I3307">
        <v>1453</v>
      </c>
      <c r="J3307" t="s">
        <v>21</v>
      </c>
      <c r="K3307">
        <v>0</v>
      </c>
      <c r="M3307">
        <v>1428</v>
      </c>
    </row>
    <row r="3308" spans="1:13">
      <c r="A3308">
        <v>3302</v>
      </c>
      <c r="B3308">
        <v>93833</v>
      </c>
      <c r="C3308" t="s">
        <v>7191</v>
      </c>
      <c r="D3308" t="s">
        <v>914</v>
      </c>
      <c r="E3308" t="s">
        <v>7192</v>
      </c>
      <c r="F3308" t="str">
        <f>"00393656"</f>
        <v>00393656</v>
      </c>
      <c r="G3308" t="s">
        <v>341</v>
      </c>
      <c r="H3308" t="s">
        <v>20</v>
      </c>
      <c r="I3308">
        <v>1553</v>
      </c>
      <c r="J3308" t="s">
        <v>21</v>
      </c>
      <c r="K3308">
        <v>6</v>
      </c>
      <c r="L3308" t="s">
        <v>35</v>
      </c>
      <c r="M3308">
        <v>808</v>
      </c>
    </row>
    <row r="3309" spans="1:13">
      <c r="A3309">
        <v>3303</v>
      </c>
      <c r="B3309">
        <v>115248</v>
      </c>
      <c r="C3309" t="s">
        <v>7193</v>
      </c>
      <c r="D3309" t="s">
        <v>153</v>
      </c>
      <c r="E3309" t="s">
        <v>7194</v>
      </c>
      <c r="F3309" t="str">
        <f>"00422455"</f>
        <v>00422455</v>
      </c>
      <c r="G3309" t="s">
        <v>2518</v>
      </c>
      <c r="H3309" t="s">
        <v>1610</v>
      </c>
      <c r="I3309">
        <v>1304</v>
      </c>
      <c r="J3309" t="s">
        <v>21</v>
      </c>
      <c r="K3309">
        <v>0</v>
      </c>
      <c r="M3309">
        <v>1588</v>
      </c>
    </row>
    <row r="3310" spans="1:13">
      <c r="A3310">
        <v>3304</v>
      </c>
      <c r="B3310">
        <v>114802</v>
      </c>
      <c r="C3310" t="s">
        <v>7193</v>
      </c>
      <c r="D3310" t="s">
        <v>243</v>
      </c>
      <c r="E3310" t="s">
        <v>7195</v>
      </c>
      <c r="F3310" t="str">
        <f>"00422294"</f>
        <v>00422294</v>
      </c>
      <c r="G3310" t="s">
        <v>2518</v>
      </c>
      <c r="H3310" t="s">
        <v>1610</v>
      </c>
      <c r="I3310">
        <v>1304</v>
      </c>
      <c r="J3310" t="s">
        <v>21</v>
      </c>
      <c r="K3310">
        <v>0</v>
      </c>
      <c r="M3310">
        <v>1588</v>
      </c>
    </row>
    <row r="3311" spans="1:13">
      <c r="A3311">
        <v>3305</v>
      </c>
      <c r="B3311">
        <v>49352</v>
      </c>
      <c r="C3311" t="s">
        <v>7196</v>
      </c>
      <c r="D3311" t="s">
        <v>90</v>
      </c>
      <c r="E3311" t="s">
        <v>7197</v>
      </c>
      <c r="F3311" t="str">
        <f>"00352889"</f>
        <v>00352889</v>
      </c>
      <c r="G3311" t="s">
        <v>1653</v>
      </c>
      <c r="H3311" t="s">
        <v>20</v>
      </c>
      <c r="I3311">
        <v>1573</v>
      </c>
      <c r="J3311" t="s">
        <v>21</v>
      </c>
      <c r="K3311">
        <v>0</v>
      </c>
      <c r="L3311" t="s">
        <v>35</v>
      </c>
      <c r="M3311">
        <v>1118</v>
      </c>
    </row>
    <row r="3312" spans="1:13">
      <c r="A3312">
        <v>3306</v>
      </c>
      <c r="B3312">
        <v>62097</v>
      </c>
      <c r="C3312" t="s">
        <v>7198</v>
      </c>
      <c r="D3312" t="s">
        <v>80</v>
      </c>
      <c r="E3312" t="s">
        <v>7199</v>
      </c>
      <c r="F3312" t="str">
        <f>"00254890"</f>
        <v>00254890</v>
      </c>
      <c r="G3312" t="s">
        <v>5467</v>
      </c>
      <c r="H3312" t="s">
        <v>535</v>
      </c>
      <c r="I3312">
        <v>1663</v>
      </c>
      <c r="J3312" t="s">
        <v>21</v>
      </c>
      <c r="K3312">
        <v>0</v>
      </c>
      <c r="L3312" t="s">
        <v>35</v>
      </c>
      <c r="M3312">
        <v>908</v>
      </c>
    </row>
    <row r="3313" spans="1:13">
      <c r="A3313">
        <v>3307</v>
      </c>
      <c r="B3313">
        <v>56075</v>
      </c>
      <c r="C3313" t="s">
        <v>7200</v>
      </c>
      <c r="D3313" t="s">
        <v>76</v>
      </c>
      <c r="E3313" t="s">
        <v>7201</v>
      </c>
      <c r="F3313" t="str">
        <f>"00356342"</f>
        <v>00356342</v>
      </c>
      <c r="G3313" t="s">
        <v>107</v>
      </c>
      <c r="H3313" t="s">
        <v>20</v>
      </c>
      <c r="I3313">
        <v>1472</v>
      </c>
      <c r="J3313" t="s">
        <v>21</v>
      </c>
      <c r="K3313">
        <v>0</v>
      </c>
      <c r="L3313" t="s">
        <v>112</v>
      </c>
      <c r="M3313">
        <v>808</v>
      </c>
    </row>
    <row r="3314" spans="1:13">
      <c r="A3314">
        <v>3308</v>
      </c>
      <c r="B3314">
        <v>46880</v>
      </c>
      <c r="C3314" t="s">
        <v>7202</v>
      </c>
      <c r="D3314" t="s">
        <v>243</v>
      </c>
      <c r="E3314" t="s">
        <v>7203</v>
      </c>
      <c r="F3314" t="str">
        <f>"00325047"</f>
        <v>00325047</v>
      </c>
      <c r="G3314" t="s">
        <v>150</v>
      </c>
      <c r="H3314" t="s">
        <v>151</v>
      </c>
      <c r="I3314">
        <v>1699</v>
      </c>
      <c r="J3314" t="s">
        <v>21</v>
      </c>
      <c r="K3314">
        <v>0</v>
      </c>
      <c r="L3314" t="s">
        <v>83</v>
      </c>
      <c r="M3314">
        <v>1268</v>
      </c>
    </row>
    <row r="3315" spans="1:13">
      <c r="A3315">
        <v>3309</v>
      </c>
      <c r="B3315">
        <v>46418</v>
      </c>
      <c r="C3315" t="s">
        <v>7204</v>
      </c>
      <c r="D3315" t="s">
        <v>76</v>
      </c>
      <c r="E3315" t="s">
        <v>7205</v>
      </c>
      <c r="F3315" t="str">
        <f>"00247578"</f>
        <v>00247578</v>
      </c>
      <c r="G3315" t="s">
        <v>834</v>
      </c>
      <c r="H3315" t="s">
        <v>20</v>
      </c>
      <c r="I3315">
        <v>1416</v>
      </c>
      <c r="J3315" t="s">
        <v>21</v>
      </c>
      <c r="K3315">
        <v>0</v>
      </c>
      <c r="M3315">
        <v>1328</v>
      </c>
    </row>
    <row r="3316" spans="1:13">
      <c r="A3316">
        <v>3310</v>
      </c>
      <c r="B3316">
        <v>102016</v>
      </c>
      <c r="C3316" t="s">
        <v>7206</v>
      </c>
      <c r="D3316" t="s">
        <v>228</v>
      </c>
      <c r="E3316" t="s">
        <v>7207</v>
      </c>
      <c r="F3316" t="str">
        <f>"00192927"</f>
        <v>00192927</v>
      </c>
      <c r="G3316" t="s">
        <v>111</v>
      </c>
      <c r="H3316" t="s">
        <v>48</v>
      </c>
      <c r="I3316">
        <v>1620</v>
      </c>
      <c r="J3316" t="s">
        <v>21</v>
      </c>
      <c r="K3316">
        <v>0</v>
      </c>
      <c r="L3316" t="s">
        <v>59</v>
      </c>
      <c r="M3316">
        <v>888</v>
      </c>
    </row>
    <row r="3317" spans="1:13">
      <c r="A3317">
        <v>3311</v>
      </c>
      <c r="B3317">
        <v>95038</v>
      </c>
      <c r="C3317" t="s">
        <v>7208</v>
      </c>
      <c r="D3317" t="s">
        <v>218</v>
      </c>
      <c r="E3317" t="s">
        <v>7209</v>
      </c>
      <c r="F3317" t="str">
        <f>"00421875"</f>
        <v>00421875</v>
      </c>
      <c r="G3317" t="s">
        <v>87</v>
      </c>
      <c r="H3317" t="s">
        <v>20</v>
      </c>
      <c r="I3317">
        <v>1436</v>
      </c>
      <c r="J3317" t="s">
        <v>21</v>
      </c>
      <c r="K3317">
        <v>0</v>
      </c>
      <c r="L3317" t="s">
        <v>88</v>
      </c>
      <c r="M3317">
        <v>509</v>
      </c>
    </row>
    <row r="3318" spans="1:13">
      <c r="A3318">
        <v>3312</v>
      </c>
      <c r="B3318">
        <v>56467</v>
      </c>
      <c r="C3318" t="s">
        <v>7210</v>
      </c>
      <c r="D3318" t="s">
        <v>334</v>
      </c>
      <c r="E3318" t="s">
        <v>7211</v>
      </c>
      <c r="F3318" t="str">
        <f>"00365671"</f>
        <v>00365671</v>
      </c>
      <c r="G3318" t="s">
        <v>230</v>
      </c>
      <c r="H3318" t="s">
        <v>20</v>
      </c>
      <c r="I3318">
        <v>1545</v>
      </c>
      <c r="J3318" t="s">
        <v>21</v>
      </c>
      <c r="K3318">
        <v>0</v>
      </c>
      <c r="M3318">
        <v>1528</v>
      </c>
    </row>
    <row r="3319" spans="1:13">
      <c r="A3319">
        <v>3313</v>
      </c>
      <c r="B3319">
        <v>58200</v>
      </c>
      <c r="C3319" t="s">
        <v>7210</v>
      </c>
      <c r="D3319" t="s">
        <v>145</v>
      </c>
      <c r="E3319" t="s">
        <v>7212</v>
      </c>
      <c r="F3319" t="str">
        <f>"201511018101"</f>
        <v>201511018101</v>
      </c>
      <c r="G3319" t="s">
        <v>70</v>
      </c>
      <c r="H3319" t="s">
        <v>2589</v>
      </c>
      <c r="I3319">
        <v>1683</v>
      </c>
      <c r="J3319" t="s">
        <v>21</v>
      </c>
      <c r="K3319">
        <v>0</v>
      </c>
      <c r="M3319">
        <v>1728</v>
      </c>
    </row>
    <row r="3320" spans="1:13">
      <c r="A3320">
        <v>3314</v>
      </c>
      <c r="B3320">
        <v>107597</v>
      </c>
      <c r="C3320" t="s">
        <v>7213</v>
      </c>
      <c r="D3320" t="s">
        <v>80</v>
      </c>
      <c r="E3320" t="s">
        <v>7214</v>
      </c>
      <c r="F3320" t="str">
        <f>"00418826"</f>
        <v>00418826</v>
      </c>
      <c r="G3320" t="s">
        <v>387</v>
      </c>
      <c r="H3320" t="s">
        <v>234</v>
      </c>
      <c r="I3320">
        <v>1340</v>
      </c>
      <c r="J3320" t="s">
        <v>21</v>
      </c>
      <c r="K3320">
        <v>0</v>
      </c>
      <c r="M3320">
        <v>1823</v>
      </c>
    </row>
    <row r="3321" spans="1:13">
      <c r="A3321">
        <v>3315</v>
      </c>
      <c r="B3321">
        <v>112622</v>
      </c>
      <c r="C3321" t="s">
        <v>7215</v>
      </c>
      <c r="D3321" t="s">
        <v>334</v>
      </c>
      <c r="E3321" t="s">
        <v>7216</v>
      </c>
      <c r="F3321" t="str">
        <f>"00421476"</f>
        <v>00421476</v>
      </c>
      <c r="G3321" t="s">
        <v>245</v>
      </c>
      <c r="H3321" t="s">
        <v>20</v>
      </c>
      <c r="I3321">
        <v>1406</v>
      </c>
      <c r="J3321" t="s">
        <v>21</v>
      </c>
      <c r="K3321">
        <v>0</v>
      </c>
      <c r="L3321" t="s">
        <v>88</v>
      </c>
      <c r="M3321">
        <v>500</v>
      </c>
    </row>
    <row r="3322" spans="1:13">
      <c r="A3322">
        <v>3316</v>
      </c>
      <c r="B3322">
        <v>101507</v>
      </c>
      <c r="C3322" t="s">
        <v>7217</v>
      </c>
      <c r="D3322" t="s">
        <v>905</v>
      </c>
      <c r="E3322" t="s">
        <v>7218</v>
      </c>
      <c r="F3322" t="str">
        <f>"00098949"</f>
        <v>00098949</v>
      </c>
      <c r="G3322" t="s">
        <v>1223</v>
      </c>
      <c r="H3322" t="s">
        <v>20</v>
      </c>
      <c r="I3322">
        <v>1405</v>
      </c>
      <c r="J3322" t="s">
        <v>21</v>
      </c>
      <c r="K3322">
        <v>0</v>
      </c>
      <c r="M3322">
        <v>1748</v>
      </c>
    </row>
    <row r="3323" spans="1:13">
      <c r="A3323">
        <v>3317</v>
      </c>
      <c r="B3323">
        <v>84027</v>
      </c>
      <c r="C3323" t="s">
        <v>7219</v>
      </c>
      <c r="D3323" t="s">
        <v>105</v>
      </c>
      <c r="E3323" t="s">
        <v>7220</v>
      </c>
      <c r="F3323" t="str">
        <f>"00393225"</f>
        <v>00393225</v>
      </c>
      <c r="G3323" t="s">
        <v>892</v>
      </c>
      <c r="H3323" t="s">
        <v>20</v>
      </c>
      <c r="I3323">
        <v>1410</v>
      </c>
      <c r="J3323" t="s">
        <v>21</v>
      </c>
      <c r="K3323">
        <v>0</v>
      </c>
      <c r="L3323" t="s">
        <v>112</v>
      </c>
      <c r="M3323">
        <v>850</v>
      </c>
    </row>
    <row r="3324" spans="1:13">
      <c r="A3324">
        <v>3318</v>
      </c>
      <c r="B3324">
        <v>58071</v>
      </c>
      <c r="C3324" t="s">
        <v>7221</v>
      </c>
      <c r="D3324" t="s">
        <v>7222</v>
      </c>
      <c r="E3324" t="s">
        <v>7223</v>
      </c>
      <c r="F3324" t="str">
        <f>"00245587"</f>
        <v>00245587</v>
      </c>
      <c r="G3324" t="s">
        <v>190</v>
      </c>
      <c r="H3324" t="s">
        <v>191</v>
      </c>
      <c r="I3324">
        <v>1618</v>
      </c>
      <c r="J3324" t="s">
        <v>21</v>
      </c>
      <c r="K3324">
        <v>0</v>
      </c>
      <c r="L3324" t="s">
        <v>35</v>
      </c>
      <c r="M3324">
        <v>1000</v>
      </c>
    </row>
    <row r="3325" spans="1:13">
      <c r="A3325">
        <v>3319</v>
      </c>
      <c r="B3325">
        <v>55409</v>
      </c>
      <c r="C3325" t="s">
        <v>7224</v>
      </c>
      <c r="D3325" t="s">
        <v>2446</v>
      </c>
      <c r="E3325" t="s">
        <v>7225</v>
      </c>
      <c r="F3325" t="str">
        <f>"00250098"</f>
        <v>00250098</v>
      </c>
      <c r="G3325" t="s">
        <v>1079</v>
      </c>
      <c r="H3325" t="s">
        <v>20</v>
      </c>
      <c r="I3325">
        <v>1433</v>
      </c>
      <c r="J3325" t="s">
        <v>21</v>
      </c>
      <c r="K3325">
        <v>0</v>
      </c>
      <c r="L3325" t="s">
        <v>59</v>
      </c>
      <c r="M3325">
        <v>1128</v>
      </c>
    </row>
    <row r="3326" spans="1:13">
      <c r="A3326">
        <v>3320</v>
      </c>
      <c r="B3326">
        <v>75698</v>
      </c>
      <c r="C3326" t="s">
        <v>7226</v>
      </c>
      <c r="D3326" t="s">
        <v>90</v>
      </c>
      <c r="E3326" t="s">
        <v>7227</v>
      </c>
      <c r="F3326" t="str">
        <f>"00377519"</f>
        <v>00377519</v>
      </c>
      <c r="G3326" t="s">
        <v>38</v>
      </c>
      <c r="H3326" t="s">
        <v>119</v>
      </c>
      <c r="I3326">
        <v>1674</v>
      </c>
      <c r="J3326" t="s">
        <v>21</v>
      </c>
      <c r="K3326">
        <v>6</v>
      </c>
      <c r="L3326" t="s">
        <v>35</v>
      </c>
      <c r="M3326">
        <v>708</v>
      </c>
    </row>
    <row r="3327" spans="1:13">
      <c r="A3327">
        <v>3321</v>
      </c>
      <c r="B3327">
        <v>64957</v>
      </c>
      <c r="C3327" t="s">
        <v>7228</v>
      </c>
      <c r="D3327" t="s">
        <v>130</v>
      </c>
      <c r="E3327" t="s">
        <v>7229</v>
      </c>
      <c r="F3327" t="str">
        <f>"00358508"</f>
        <v>00358508</v>
      </c>
      <c r="G3327" t="s">
        <v>38</v>
      </c>
      <c r="H3327" t="s">
        <v>39</v>
      </c>
      <c r="I3327">
        <v>1634</v>
      </c>
      <c r="J3327" t="s">
        <v>21</v>
      </c>
      <c r="K3327">
        <v>6</v>
      </c>
      <c r="M3327">
        <v>1228</v>
      </c>
    </row>
    <row r="3328" spans="1:13">
      <c r="A3328">
        <v>3322</v>
      </c>
      <c r="B3328">
        <v>78967</v>
      </c>
      <c r="C3328" t="s">
        <v>7230</v>
      </c>
      <c r="D3328" t="s">
        <v>316</v>
      </c>
      <c r="E3328" t="s">
        <v>7231</v>
      </c>
      <c r="F3328" t="str">
        <f>"00282161"</f>
        <v>00282161</v>
      </c>
      <c r="G3328" t="s">
        <v>38</v>
      </c>
      <c r="H3328" t="s">
        <v>39</v>
      </c>
      <c r="I3328">
        <v>1634</v>
      </c>
      <c r="J3328" t="s">
        <v>21</v>
      </c>
      <c r="K3328">
        <v>6</v>
      </c>
      <c r="M3328">
        <v>1228</v>
      </c>
    </row>
    <row r="3329" spans="1:13">
      <c r="A3329">
        <v>3323</v>
      </c>
      <c r="B3329">
        <v>59408</v>
      </c>
      <c r="C3329" t="s">
        <v>7232</v>
      </c>
      <c r="D3329" t="s">
        <v>243</v>
      </c>
      <c r="E3329" t="s">
        <v>7233</v>
      </c>
      <c r="F3329" t="str">
        <f>"00360934"</f>
        <v>00360934</v>
      </c>
      <c r="G3329" t="s">
        <v>3707</v>
      </c>
      <c r="H3329" t="s">
        <v>20</v>
      </c>
      <c r="I3329">
        <v>1437</v>
      </c>
      <c r="J3329" t="s">
        <v>21</v>
      </c>
      <c r="K3329">
        <v>6</v>
      </c>
      <c r="L3329" t="s">
        <v>35</v>
      </c>
      <c r="M3329">
        <v>1306</v>
      </c>
    </row>
    <row r="3330" spans="1:13">
      <c r="A3330">
        <v>3324</v>
      </c>
      <c r="B3330">
        <v>48883</v>
      </c>
      <c r="C3330" t="s">
        <v>7234</v>
      </c>
      <c r="D3330" t="s">
        <v>121</v>
      </c>
      <c r="E3330" t="s">
        <v>7235</v>
      </c>
      <c r="F3330" t="str">
        <f>"201604002171"</f>
        <v>201604002171</v>
      </c>
      <c r="G3330" t="s">
        <v>47</v>
      </c>
      <c r="H3330" t="s">
        <v>48</v>
      </c>
      <c r="I3330">
        <v>1623</v>
      </c>
      <c r="J3330" t="s">
        <v>21</v>
      </c>
      <c r="K3330">
        <v>0</v>
      </c>
      <c r="M3330">
        <v>1388</v>
      </c>
    </row>
    <row r="3331" spans="1:13">
      <c r="A3331">
        <v>3325</v>
      </c>
      <c r="B3331">
        <v>89927</v>
      </c>
      <c r="C3331" t="s">
        <v>7236</v>
      </c>
      <c r="D3331" t="s">
        <v>80</v>
      </c>
      <c r="E3331" t="s">
        <v>7237</v>
      </c>
      <c r="F3331" t="str">
        <f>"00321107"</f>
        <v>00321107</v>
      </c>
      <c r="G3331" t="s">
        <v>1239</v>
      </c>
      <c r="H3331" t="s">
        <v>1296</v>
      </c>
      <c r="I3331">
        <v>1638</v>
      </c>
      <c r="J3331" t="s">
        <v>21</v>
      </c>
      <c r="K3331">
        <v>0</v>
      </c>
      <c r="L3331" t="s">
        <v>59</v>
      </c>
      <c r="M3331">
        <v>1088</v>
      </c>
    </row>
    <row r="3332" spans="1:13">
      <c r="A3332">
        <v>3326</v>
      </c>
      <c r="B3332">
        <v>71597</v>
      </c>
      <c r="C3332" t="s">
        <v>7238</v>
      </c>
      <c r="D3332" t="s">
        <v>73</v>
      </c>
      <c r="E3332" t="s">
        <v>7239</v>
      </c>
      <c r="F3332" t="str">
        <f>"00069899"</f>
        <v>00069899</v>
      </c>
      <c r="G3332" t="s">
        <v>78</v>
      </c>
      <c r="H3332" t="s">
        <v>20</v>
      </c>
      <c r="I3332">
        <v>1460</v>
      </c>
      <c r="J3332" t="s">
        <v>21</v>
      </c>
      <c r="K3332">
        <v>0</v>
      </c>
      <c r="M3332">
        <v>1538</v>
      </c>
    </row>
    <row r="3333" spans="1:13">
      <c r="A3333">
        <v>3327</v>
      </c>
      <c r="B3333">
        <v>99905</v>
      </c>
      <c r="C3333" t="s">
        <v>7240</v>
      </c>
      <c r="D3333" t="s">
        <v>180</v>
      </c>
      <c r="E3333" t="s">
        <v>7241</v>
      </c>
      <c r="F3333" t="str">
        <f>"00281127"</f>
        <v>00281127</v>
      </c>
      <c r="G3333" t="s">
        <v>47</v>
      </c>
      <c r="H3333" t="s">
        <v>48</v>
      </c>
      <c r="I3333">
        <v>1623</v>
      </c>
      <c r="J3333" t="s">
        <v>21</v>
      </c>
      <c r="K3333">
        <v>0</v>
      </c>
      <c r="L3333" t="s">
        <v>35</v>
      </c>
      <c r="M3333">
        <v>908</v>
      </c>
    </row>
    <row r="3334" spans="1:13">
      <c r="A3334">
        <v>3328</v>
      </c>
      <c r="B3334">
        <v>84616</v>
      </c>
      <c r="C3334" t="s">
        <v>7242</v>
      </c>
      <c r="D3334" t="s">
        <v>209</v>
      </c>
      <c r="E3334" t="s">
        <v>7243</v>
      </c>
      <c r="F3334" t="str">
        <f>"00374968"</f>
        <v>00374968</v>
      </c>
      <c r="G3334" t="s">
        <v>96</v>
      </c>
      <c r="H3334" t="s">
        <v>20</v>
      </c>
      <c r="I3334">
        <v>1474</v>
      </c>
      <c r="J3334" t="s">
        <v>21</v>
      </c>
      <c r="K3334">
        <v>0</v>
      </c>
      <c r="L3334" t="s">
        <v>59</v>
      </c>
      <c r="M3334">
        <v>1088</v>
      </c>
    </row>
    <row r="3335" spans="1:13">
      <c r="A3335">
        <v>3329</v>
      </c>
      <c r="B3335">
        <v>95153</v>
      </c>
      <c r="C3335" t="s">
        <v>7244</v>
      </c>
      <c r="D3335" t="s">
        <v>105</v>
      </c>
      <c r="E3335" t="s">
        <v>7245</v>
      </c>
      <c r="F3335" t="str">
        <f>"201410007924"</f>
        <v>201410007924</v>
      </c>
      <c r="G3335" t="s">
        <v>125</v>
      </c>
      <c r="H3335" t="s">
        <v>20</v>
      </c>
      <c r="I3335">
        <v>1507</v>
      </c>
      <c r="J3335" t="s">
        <v>21</v>
      </c>
      <c r="K3335">
        <v>0</v>
      </c>
      <c r="M3335">
        <v>1657</v>
      </c>
    </row>
    <row r="3336" spans="1:13">
      <c r="A3336">
        <v>3330</v>
      </c>
      <c r="B3336">
        <v>58385</v>
      </c>
      <c r="C3336" t="s">
        <v>7246</v>
      </c>
      <c r="D3336" t="s">
        <v>163</v>
      </c>
      <c r="E3336" t="s">
        <v>7247</v>
      </c>
      <c r="F3336" t="str">
        <f>"00194831"</f>
        <v>00194831</v>
      </c>
      <c r="G3336" t="s">
        <v>1084</v>
      </c>
      <c r="H3336" t="s">
        <v>1085</v>
      </c>
      <c r="I3336">
        <v>1588</v>
      </c>
      <c r="J3336" t="s">
        <v>21</v>
      </c>
      <c r="K3336">
        <v>0</v>
      </c>
      <c r="L3336" t="s">
        <v>59</v>
      </c>
      <c r="M3336">
        <v>781</v>
      </c>
    </row>
    <row r="3337" spans="1:13">
      <c r="A3337">
        <v>3331</v>
      </c>
      <c r="B3337">
        <v>57543</v>
      </c>
      <c r="C3337" t="s">
        <v>7248</v>
      </c>
      <c r="D3337" t="s">
        <v>85</v>
      </c>
      <c r="E3337" t="s">
        <v>7249</v>
      </c>
      <c r="F3337" t="str">
        <f>"00372756"</f>
        <v>00372756</v>
      </c>
      <c r="G3337" t="s">
        <v>1321</v>
      </c>
      <c r="H3337" t="s">
        <v>234</v>
      </c>
      <c r="I3337">
        <v>1330</v>
      </c>
      <c r="J3337" t="s">
        <v>21</v>
      </c>
      <c r="K3337">
        <v>0</v>
      </c>
      <c r="L3337" t="s">
        <v>59</v>
      </c>
      <c r="M3337">
        <v>1238</v>
      </c>
    </row>
    <row r="3338" spans="1:13">
      <c r="A3338">
        <v>3332</v>
      </c>
      <c r="B3338">
        <v>100420</v>
      </c>
      <c r="C3338" t="s">
        <v>7250</v>
      </c>
      <c r="D3338" t="s">
        <v>76</v>
      </c>
      <c r="E3338" t="s">
        <v>7251</v>
      </c>
      <c r="F3338" t="str">
        <f>"00399978"</f>
        <v>00399978</v>
      </c>
      <c r="G3338" t="s">
        <v>226</v>
      </c>
      <c r="H3338" t="s">
        <v>20</v>
      </c>
      <c r="I3338">
        <v>1510</v>
      </c>
      <c r="J3338" t="s">
        <v>21</v>
      </c>
      <c r="K3338">
        <v>0</v>
      </c>
      <c r="L3338" t="s">
        <v>35</v>
      </c>
      <c r="M3338">
        <v>858</v>
      </c>
    </row>
    <row r="3339" spans="1:13">
      <c r="A3339">
        <v>3333</v>
      </c>
      <c r="B3339">
        <v>82240</v>
      </c>
      <c r="C3339" t="s">
        <v>7252</v>
      </c>
      <c r="D3339" t="s">
        <v>76</v>
      </c>
      <c r="E3339" t="s">
        <v>7253</v>
      </c>
      <c r="F3339" t="str">
        <f>"00381935"</f>
        <v>00381935</v>
      </c>
      <c r="G3339" t="s">
        <v>29</v>
      </c>
      <c r="H3339" t="s">
        <v>20</v>
      </c>
      <c r="I3339">
        <v>1446</v>
      </c>
      <c r="J3339" t="s">
        <v>21</v>
      </c>
      <c r="K3339">
        <v>0</v>
      </c>
      <c r="L3339" t="s">
        <v>35</v>
      </c>
      <c r="M3339">
        <v>991</v>
      </c>
    </row>
    <row r="3340" spans="1:13">
      <c r="A3340">
        <v>3334</v>
      </c>
      <c r="B3340">
        <v>51805</v>
      </c>
      <c r="C3340" t="s">
        <v>7254</v>
      </c>
      <c r="D3340" t="s">
        <v>153</v>
      </c>
      <c r="E3340" t="s">
        <v>7255</v>
      </c>
      <c r="F3340" t="str">
        <f>"00367671"</f>
        <v>00367671</v>
      </c>
      <c r="G3340" t="s">
        <v>207</v>
      </c>
      <c r="H3340" t="s">
        <v>20</v>
      </c>
      <c r="I3340">
        <v>1560</v>
      </c>
      <c r="J3340" t="s">
        <v>21</v>
      </c>
      <c r="K3340">
        <v>6</v>
      </c>
      <c r="L3340" t="s">
        <v>35</v>
      </c>
      <c r="M3340">
        <v>1200</v>
      </c>
    </row>
    <row r="3341" spans="1:13">
      <c r="A3341">
        <v>3335</v>
      </c>
      <c r="B3341">
        <v>116863</v>
      </c>
      <c r="C3341" t="s">
        <v>7256</v>
      </c>
      <c r="D3341" t="s">
        <v>105</v>
      </c>
      <c r="E3341" t="s">
        <v>7257</v>
      </c>
      <c r="F3341" t="str">
        <f>"201511016381"</f>
        <v>201511016381</v>
      </c>
      <c r="G3341" t="s">
        <v>1883</v>
      </c>
      <c r="H3341" t="s">
        <v>20</v>
      </c>
      <c r="I3341">
        <v>1541</v>
      </c>
      <c r="J3341" t="s">
        <v>21</v>
      </c>
      <c r="K3341">
        <v>6</v>
      </c>
      <c r="L3341" t="s">
        <v>35</v>
      </c>
      <c r="M3341">
        <v>1258</v>
      </c>
    </row>
    <row r="3342" spans="1:13">
      <c r="A3342">
        <v>3336</v>
      </c>
      <c r="B3342">
        <v>77881</v>
      </c>
      <c r="C3342" t="s">
        <v>7258</v>
      </c>
      <c r="D3342" t="s">
        <v>2882</v>
      </c>
      <c r="E3342" t="s">
        <v>7259</v>
      </c>
      <c r="F3342" t="str">
        <f>"201604002962"</f>
        <v>201604002962</v>
      </c>
      <c r="G3342" t="s">
        <v>1556</v>
      </c>
      <c r="H3342" t="s">
        <v>20</v>
      </c>
      <c r="I3342">
        <v>1530</v>
      </c>
      <c r="J3342" t="s">
        <v>21</v>
      </c>
      <c r="K3342">
        <v>0</v>
      </c>
      <c r="L3342" t="s">
        <v>35</v>
      </c>
      <c r="M3342">
        <v>972</v>
      </c>
    </row>
    <row r="3343" spans="1:13">
      <c r="A3343">
        <v>3337</v>
      </c>
      <c r="B3343">
        <v>64942</v>
      </c>
      <c r="C3343" t="s">
        <v>7260</v>
      </c>
      <c r="D3343" t="s">
        <v>102</v>
      </c>
      <c r="E3343" t="s">
        <v>7261</v>
      </c>
      <c r="F3343" t="str">
        <f>"201511030021"</f>
        <v>201511030021</v>
      </c>
      <c r="G3343" t="s">
        <v>107</v>
      </c>
      <c r="H3343" t="s">
        <v>20</v>
      </c>
      <c r="I3343">
        <v>1472</v>
      </c>
      <c r="J3343" t="s">
        <v>21</v>
      </c>
      <c r="K3343">
        <v>0</v>
      </c>
      <c r="L3343" t="s">
        <v>88</v>
      </c>
      <c r="M3343">
        <v>800</v>
      </c>
    </row>
    <row r="3344" spans="1:13">
      <c r="A3344">
        <v>3338</v>
      </c>
      <c r="B3344">
        <v>56165</v>
      </c>
      <c r="C3344" t="s">
        <v>7262</v>
      </c>
      <c r="D3344" t="s">
        <v>90</v>
      </c>
      <c r="E3344" t="s">
        <v>7263</v>
      </c>
      <c r="F3344" t="str">
        <f>"00101877"</f>
        <v>00101877</v>
      </c>
      <c r="G3344" t="s">
        <v>107</v>
      </c>
      <c r="H3344" t="s">
        <v>20</v>
      </c>
      <c r="I3344">
        <v>1472</v>
      </c>
      <c r="J3344" t="s">
        <v>21</v>
      </c>
      <c r="K3344">
        <v>0</v>
      </c>
      <c r="M3344">
        <v>1478</v>
      </c>
    </row>
    <row r="3345" spans="1:13">
      <c r="A3345">
        <v>3339</v>
      </c>
      <c r="B3345">
        <v>50883</v>
      </c>
      <c r="C3345" t="s">
        <v>7264</v>
      </c>
      <c r="D3345" t="s">
        <v>80</v>
      </c>
      <c r="E3345" t="s">
        <v>7265</v>
      </c>
      <c r="F3345" t="str">
        <f>"00358052"</f>
        <v>00358052</v>
      </c>
      <c r="G3345" t="s">
        <v>178</v>
      </c>
      <c r="H3345" t="s">
        <v>20</v>
      </c>
      <c r="I3345">
        <v>1519</v>
      </c>
      <c r="J3345" t="s">
        <v>21</v>
      </c>
      <c r="K3345">
        <v>0</v>
      </c>
      <c r="M3345">
        <v>1438</v>
      </c>
    </row>
    <row r="3346" spans="1:13">
      <c r="A3346">
        <v>3340</v>
      </c>
      <c r="B3346">
        <v>111188</v>
      </c>
      <c r="C3346" t="s">
        <v>7266</v>
      </c>
      <c r="D3346" t="s">
        <v>373</v>
      </c>
      <c r="E3346" t="s">
        <v>7267</v>
      </c>
      <c r="F3346" t="str">
        <f>"00407560"</f>
        <v>00407560</v>
      </c>
      <c r="G3346" t="s">
        <v>600</v>
      </c>
      <c r="H3346" t="s">
        <v>234</v>
      </c>
      <c r="I3346">
        <v>1337</v>
      </c>
      <c r="J3346" t="s">
        <v>21</v>
      </c>
      <c r="K3346">
        <v>0</v>
      </c>
      <c r="L3346" t="s">
        <v>35</v>
      </c>
      <c r="M3346">
        <v>1100</v>
      </c>
    </row>
    <row r="3347" spans="1:13">
      <c r="A3347">
        <v>3341</v>
      </c>
      <c r="B3347">
        <v>68375</v>
      </c>
      <c r="C3347" t="s">
        <v>7268</v>
      </c>
      <c r="D3347" t="s">
        <v>243</v>
      </c>
      <c r="E3347" t="s">
        <v>7269</v>
      </c>
      <c r="F3347" t="str">
        <f>"00381888"</f>
        <v>00381888</v>
      </c>
      <c r="G3347" t="s">
        <v>178</v>
      </c>
      <c r="H3347" t="s">
        <v>20</v>
      </c>
      <c r="I3347">
        <v>1519</v>
      </c>
      <c r="J3347" t="s">
        <v>21</v>
      </c>
      <c r="K3347">
        <v>0</v>
      </c>
      <c r="M3347">
        <v>1548</v>
      </c>
    </row>
    <row r="3348" spans="1:13">
      <c r="A3348">
        <v>3342</v>
      </c>
      <c r="B3348">
        <v>46610</v>
      </c>
      <c r="C3348" t="s">
        <v>7270</v>
      </c>
      <c r="D3348" t="s">
        <v>180</v>
      </c>
      <c r="E3348" t="s">
        <v>7271</v>
      </c>
      <c r="F3348" t="str">
        <f>"00362815"</f>
        <v>00362815</v>
      </c>
      <c r="G3348" t="s">
        <v>96</v>
      </c>
      <c r="H3348" t="s">
        <v>20</v>
      </c>
      <c r="I3348">
        <v>1474</v>
      </c>
      <c r="J3348" t="s">
        <v>21</v>
      </c>
      <c r="K3348">
        <v>0</v>
      </c>
      <c r="M3348">
        <v>1528</v>
      </c>
    </row>
    <row r="3349" spans="1:13">
      <c r="A3349">
        <v>3343</v>
      </c>
      <c r="B3349">
        <v>71649</v>
      </c>
      <c r="C3349" t="s">
        <v>7272</v>
      </c>
      <c r="D3349" t="s">
        <v>563</v>
      </c>
      <c r="E3349" t="s">
        <v>7273</v>
      </c>
      <c r="F3349" t="str">
        <f>"201406007220"</f>
        <v>201406007220</v>
      </c>
      <c r="G3349" t="s">
        <v>107</v>
      </c>
      <c r="H3349" t="s">
        <v>20</v>
      </c>
      <c r="I3349">
        <v>1472</v>
      </c>
      <c r="J3349" t="s">
        <v>21</v>
      </c>
      <c r="K3349">
        <v>0</v>
      </c>
      <c r="M3349">
        <v>1368</v>
      </c>
    </row>
    <row r="3350" spans="1:13">
      <c r="A3350">
        <v>3344</v>
      </c>
      <c r="B3350">
        <v>113600</v>
      </c>
      <c r="C3350" t="s">
        <v>7274</v>
      </c>
      <c r="D3350" t="s">
        <v>412</v>
      </c>
      <c r="E3350" t="s">
        <v>7275</v>
      </c>
      <c r="F3350" t="str">
        <f>"00416723"</f>
        <v>00416723</v>
      </c>
      <c r="G3350" t="s">
        <v>38</v>
      </c>
      <c r="H3350" t="s">
        <v>39</v>
      </c>
      <c r="I3350">
        <v>1634</v>
      </c>
      <c r="J3350" t="s">
        <v>21</v>
      </c>
      <c r="K3350">
        <v>6</v>
      </c>
      <c r="L3350" t="s">
        <v>35</v>
      </c>
      <c r="M3350">
        <v>600</v>
      </c>
    </row>
    <row r="3351" spans="1:13">
      <c r="A3351">
        <v>3345</v>
      </c>
      <c r="B3351">
        <v>71322</v>
      </c>
      <c r="C3351" t="s">
        <v>7276</v>
      </c>
      <c r="D3351" t="s">
        <v>218</v>
      </c>
      <c r="E3351" t="s">
        <v>7277</v>
      </c>
      <c r="F3351" t="str">
        <f>"00229959"</f>
        <v>00229959</v>
      </c>
      <c r="G3351" t="s">
        <v>107</v>
      </c>
      <c r="H3351" t="s">
        <v>20</v>
      </c>
      <c r="I3351">
        <v>1472</v>
      </c>
      <c r="J3351" t="s">
        <v>21</v>
      </c>
      <c r="K3351">
        <v>0</v>
      </c>
      <c r="L3351" t="s">
        <v>35</v>
      </c>
      <c r="M3351">
        <v>938</v>
      </c>
    </row>
    <row r="3352" spans="1:13">
      <c r="A3352">
        <v>3346</v>
      </c>
      <c r="B3352">
        <v>55459</v>
      </c>
      <c r="C3352" t="s">
        <v>7278</v>
      </c>
      <c r="D3352" t="s">
        <v>65</v>
      </c>
      <c r="E3352" t="s">
        <v>7279</v>
      </c>
      <c r="F3352" t="str">
        <f>"00316589"</f>
        <v>00316589</v>
      </c>
      <c r="G3352" t="s">
        <v>211</v>
      </c>
      <c r="H3352" t="s">
        <v>48</v>
      </c>
      <c r="I3352">
        <v>1628</v>
      </c>
      <c r="J3352" t="s">
        <v>21</v>
      </c>
      <c r="K3352">
        <v>0</v>
      </c>
      <c r="L3352" t="s">
        <v>83</v>
      </c>
      <c r="M3352">
        <v>1288</v>
      </c>
    </row>
    <row r="3353" spans="1:13">
      <c r="A3353">
        <v>3347</v>
      </c>
      <c r="B3353">
        <v>54528</v>
      </c>
      <c r="C3353" t="s">
        <v>7280</v>
      </c>
      <c r="D3353" t="s">
        <v>557</v>
      </c>
      <c r="E3353" t="s">
        <v>7281</v>
      </c>
      <c r="F3353" t="str">
        <f>"00262395"</f>
        <v>00262395</v>
      </c>
      <c r="G3353" t="s">
        <v>47</v>
      </c>
      <c r="H3353" t="s">
        <v>48</v>
      </c>
      <c r="I3353">
        <v>1623</v>
      </c>
      <c r="J3353" t="s">
        <v>21</v>
      </c>
      <c r="K3353">
        <v>0</v>
      </c>
      <c r="L3353" t="s">
        <v>59</v>
      </c>
      <c r="M3353">
        <v>978</v>
      </c>
    </row>
    <row r="3354" spans="1:13">
      <c r="A3354">
        <v>3348</v>
      </c>
      <c r="B3354">
        <v>101499</v>
      </c>
      <c r="C3354" t="s">
        <v>7282</v>
      </c>
      <c r="D3354" t="s">
        <v>180</v>
      </c>
      <c r="E3354" t="s">
        <v>7283</v>
      </c>
      <c r="F3354" t="str">
        <f>"00384686"</f>
        <v>00384686</v>
      </c>
      <c r="G3354" t="s">
        <v>47</v>
      </c>
      <c r="H3354" t="s">
        <v>48</v>
      </c>
      <c r="I3354">
        <v>1623</v>
      </c>
      <c r="J3354" t="s">
        <v>21</v>
      </c>
      <c r="K3354">
        <v>0</v>
      </c>
      <c r="M3354">
        <v>1388</v>
      </c>
    </row>
    <row r="3355" spans="1:13">
      <c r="A3355">
        <v>3349</v>
      </c>
      <c r="B3355">
        <v>46656</v>
      </c>
      <c r="C3355" t="s">
        <v>7284</v>
      </c>
      <c r="D3355" t="s">
        <v>153</v>
      </c>
      <c r="E3355" t="s">
        <v>7285</v>
      </c>
      <c r="F3355" t="str">
        <f>"00026486"</f>
        <v>00026486</v>
      </c>
      <c r="G3355" t="s">
        <v>47</v>
      </c>
      <c r="H3355" t="s">
        <v>48</v>
      </c>
      <c r="I3355">
        <v>1623</v>
      </c>
      <c r="J3355" t="s">
        <v>21</v>
      </c>
      <c r="K3355">
        <v>0</v>
      </c>
      <c r="L3355" t="s">
        <v>35</v>
      </c>
      <c r="M3355">
        <v>886</v>
      </c>
    </row>
    <row r="3356" spans="1:13">
      <c r="A3356">
        <v>3350</v>
      </c>
      <c r="B3356">
        <v>47959</v>
      </c>
      <c r="C3356" t="s">
        <v>7286</v>
      </c>
      <c r="D3356" t="s">
        <v>525</v>
      </c>
      <c r="E3356" t="s">
        <v>7287</v>
      </c>
      <c r="F3356" t="str">
        <f>"00348165"</f>
        <v>00348165</v>
      </c>
      <c r="G3356" t="s">
        <v>87</v>
      </c>
      <c r="H3356" t="s">
        <v>1671</v>
      </c>
      <c r="I3356">
        <v>1716</v>
      </c>
      <c r="J3356" t="s">
        <v>21</v>
      </c>
      <c r="K3356">
        <v>0</v>
      </c>
      <c r="M3356">
        <v>1488</v>
      </c>
    </row>
    <row r="3357" spans="1:13">
      <c r="A3357">
        <v>3351</v>
      </c>
      <c r="B3357">
        <v>104967</v>
      </c>
      <c r="C3357" t="s">
        <v>7288</v>
      </c>
      <c r="D3357" t="s">
        <v>102</v>
      </c>
      <c r="E3357" t="s">
        <v>7289</v>
      </c>
      <c r="F3357" t="str">
        <f>"00331109"</f>
        <v>00331109</v>
      </c>
      <c r="G3357" t="s">
        <v>107</v>
      </c>
      <c r="H3357" t="s">
        <v>20</v>
      </c>
      <c r="I3357">
        <v>1472</v>
      </c>
      <c r="J3357" t="s">
        <v>21</v>
      </c>
      <c r="K3357">
        <v>0</v>
      </c>
      <c r="L3357" t="s">
        <v>112</v>
      </c>
      <c r="M3357">
        <v>808</v>
      </c>
    </row>
    <row r="3358" spans="1:13">
      <c r="A3358">
        <v>3352</v>
      </c>
      <c r="B3358">
        <v>84699</v>
      </c>
      <c r="C3358" t="s">
        <v>7290</v>
      </c>
      <c r="D3358" t="s">
        <v>80</v>
      </c>
      <c r="E3358" t="s">
        <v>7291</v>
      </c>
      <c r="F3358" t="str">
        <f>"00105724"</f>
        <v>00105724</v>
      </c>
      <c r="G3358" t="s">
        <v>47</v>
      </c>
      <c r="H3358" t="s">
        <v>48</v>
      </c>
      <c r="I3358">
        <v>1623</v>
      </c>
      <c r="J3358" t="s">
        <v>21</v>
      </c>
      <c r="K3358">
        <v>0</v>
      </c>
      <c r="L3358" t="s">
        <v>59</v>
      </c>
      <c r="M3358">
        <v>1188</v>
      </c>
    </row>
    <row r="3359" spans="1:13">
      <c r="A3359">
        <v>3353</v>
      </c>
      <c r="B3359">
        <v>81044</v>
      </c>
      <c r="C3359" t="s">
        <v>7292</v>
      </c>
      <c r="D3359" t="s">
        <v>700</v>
      </c>
      <c r="E3359" t="s">
        <v>7293</v>
      </c>
      <c r="F3359" t="str">
        <f>"00380837"</f>
        <v>00380837</v>
      </c>
      <c r="G3359" t="s">
        <v>375</v>
      </c>
      <c r="H3359" t="s">
        <v>20</v>
      </c>
      <c r="I3359">
        <v>1516</v>
      </c>
      <c r="J3359" t="s">
        <v>21</v>
      </c>
      <c r="K3359">
        <v>0</v>
      </c>
      <c r="L3359" t="s">
        <v>35</v>
      </c>
      <c r="M3359">
        <v>1000</v>
      </c>
    </row>
    <row r="3360" spans="1:13">
      <c r="A3360">
        <v>3354</v>
      </c>
      <c r="B3360">
        <v>75705</v>
      </c>
      <c r="C3360" t="s">
        <v>7294</v>
      </c>
      <c r="D3360" t="s">
        <v>145</v>
      </c>
      <c r="E3360" t="s">
        <v>7295</v>
      </c>
      <c r="F3360" t="str">
        <f>"00221298"</f>
        <v>00221298</v>
      </c>
      <c r="G3360" t="s">
        <v>1695</v>
      </c>
      <c r="H3360" t="s">
        <v>20</v>
      </c>
      <c r="I3360">
        <v>1533</v>
      </c>
      <c r="J3360" t="s">
        <v>21</v>
      </c>
      <c r="K3360">
        <v>0</v>
      </c>
      <c r="L3360" t="s">
        <v>59</v>
      </c>
      <c r="M3360">
        <v>869</v>
      </c>
    </row>
    <row r="3361" spans="1:13">
      <c r="A3361">
        <v>3355</v>
      </c>
      <c r="B3361">
        <v>116456</v>
      </c>
      <c r="C3361" t="s">
        <v>7296</v>
      </c>
      <c r="D3361" t="s">
        <v>85</v>
      </c>
      <c r="E3361" t="s">
        <v>7297</v>
      </c>
      <c r="F3361" t="str">
        <f>"00193788"</f>
        <v>00193788</v>
      </c>
      <c r="G3361" t="s">
        <v>2698</v>
      </c>
      <c r="H3361" t="s">
        <v>216</v>
      </c>
      <c r="I3361">
        <v>1709</v>
      </c>
      <c r="J3361" t="s">
        <v>21</v>
      </c>
      <c r="K3361">
        <v>0</v>
      </c>
      <c r="M3361">
        <v>1408</v>
      </c>
    </row>
    <row r="3362" spans="1:13">
      <c r="A3362">
        <v>3356</v>
      </c>
      <c r="B3362">
        <v>69322</v>
      </c>
      <c r="C3362" t="s">
        <v>7298</v>
      </c>
      <c r="D3362" t="s">
        <v>700</v>
      </c>
      <c r="E3362" t="s">
        <v>7299</v>
      </c>
      <c r="F3362" t="str">
        <f>"200802011285"</f>
        <v>200802011285</v>
      </c>
      <c r="G3362" t="s">
        <v>82</v>
      </c>
      <c r="H3362" t="s">
        <v>20</v>
      </c>
      <c r="I3362">
        <v>1475</v>
      </c>
      <c r="J3362" t="s">
        <v>21</v>
      </c>
      <c r="K3362">
        <v>0</v>
      </c>
      <c r="L3362" t="s">
        <v>35</v>
      </c>
      <c r="M3362">
        <v>908</v>
      </c>
    </row>
    <row r="3363" spans="1:13">
      <c r="A3363">
        <v>3357</v>
      </c>
      <c r="B3363">
        <v>86724</v>
      </c>
      <c r="C3363" t="s">
        <v>7300</v>
      </c>
      <c r="D3363" t="s">
        <v>105</v>
      </c>
      <c r="E3363" t="s">
        <v>7301</v>
      </c>
      <c r="F3363" t="str">
        <f>"00081892"</f>
        <v>00081892</v>
      </c>
      <c r="G3363" t="s">
        <v>7302</v>
      </c>
      <c r="H3363" t="s">
        <v>234</v>
      </c>
      <c r="I3363">
        <v>1325</v>
      </c>
      <c r="J3363" t="s">
        <v>21</v>
      </c>
      <c r="K3363">
        <v>7</v>
      </c>
      <c r="M3363">
        <v>1418</v>
      </c>
    </row>
    <row r="3364" spans="1:13">
      <c r="A3364">
        <v>3358</v>
      </c>
      <c r="B3364">
        <v>88299</v>
      </c>
      <c r="C3364" t="s">
        <v>7303</v>
      </c>
      <c r="D3364" t="s">
        <v>76</v>
      </c>
      <c r="E3364" t="s">
        <v>7304</v>
      </c>
      <c r="F3364" t="str">
        <f>"00417257"</f>
        <v>00417257</v>
      </c>
      <c r="G3364" t="s">
        <v>1595</v>
      </c>
      <c r="H3364" t="s">
        <v>20</v>
      </c>
      <c r="I3364">
        <v>1538</v>
      </c>
      <c r="J3364" t="s">
        <v>21</v>
      </c>
      <c r="K3364">
        <v>0</v>
      </c>
      <c r="L3364" t="s">
        <v>88</v>
      </c>
      <c r="M3364">
        <v>908</v>
      </c>
    </row>
    <row r="3365" spans="1:13">
      <c r="A3365">
        <v>3359</v>
      </c>
      <c r="B3365">
        <v>55178</v>
      </c>
      <c r="C3365" t="s">
        <v>7305</v>
      </c>
      <c r="D3365" t="s">
        <v>218</v>
      </c>
      <c r="E3365" t="s">
        <v>7306</v>
      </c>
      <c r="F3365" t="str">
        <f>"201410007942"</f>
        <v>201410007942</v>
      </c>
      <c r="G3365" t="s">
        <v>1890</v>
      </c>
      <c r="H3365" t="s">
        <v>3499</v>
      </c>
      <c r="I3365">
        <v>1672</v>
      </c>
      <c r="J3365" t="s">
        <v>21</v>
      </c>
      <c r="K3365">
        <v>0</v>
      </c>
      <c r="M3365">
        <v>1388</v>
      </c>
    </row>
    <row r="3366" spans="1:13">
      <c r="A3366">
        <v>3360</v>
      </c>
      <c r="B3366">
        <v>69465</v>
      </c>
      <c r="C3366" t="s">
        <v>7307</v>
      </c>
      <c r="D3366" t="s">
        <v>94</v>
      </c>
      <c r="E3366" t="s">
        <v>7308</v>
      </c>
      <c r="F3366" t="str">
        <f>"00382316"</f>
        <v>00382316</v>
      </c>
      <c r="G3366" t="s">
        <v>1107</v>
      </c>
      <c r="H3366" t="s">
        <v>48</v>
      </c>
      <c r="I3366">
        <v>1626</v>
      </c>
      <c r="J3366" t="s">
        <v>21</v>
      </c>
      <c r="K3366">
        <v>0</v>
      </c>
      <c r="L3366" t="s">
        <v>35</v>
      </c>
      <c r="M3366">
        <v>906</v>
      </c>
    </row>
    <row r="3367" spans="1:13">
      <c r="A3367">
        <v>3361</v>
      </c>
      <c r="B3367">
        <v>98802</v>
      </c>
      <c r="C3367" t="s">
        <v>7309</v>
      </c>
      <c r="D3367" t="s">
        <v>218</v>
      </c>
      <c r="E3367" t="s">
        <v>7310</v>
      </c>
      <c r="F3367" t="str">
        <f>"00338939"</f>
        <v>00338939</v>
      </c>
      <c r="G3367" t="s">
        <v>29</v>
      </c>
      <c r="H3367" t="s">
        <v>20</v>
      </c>
      <c r="I3367">
        <v>1446</v>
      </c>
      <c r="J3367" t="s">
        <v>21</v>
      </c>
      <c r="K3367">
        <v>0</v>
      </c>
      <c r="M3367">
        <v>1388</v>
      </c>
    </row>
    <row r="3368" spans="1:13">
      <c r="A3368">
        <v>3362</v>
      </c>
      <c r="B3368">
        <v>93797</v>
      </c>
      <c r="C3368" t="s">
        <v>7311</v>
      </c>
      <c r="D3368" t="s">
        <v>163</v>
      </c>
      <c r="E3368" t="s">
        <v>7312</v>
      </c>
      <c r="F3368" t="str">
        <f>"00385150"</f>
        <v>00385150</v>
      </c>
      <c r="G3368" t="s">
        <v>7313</v>
      </c>
      <c r="H3368" t="s">
        <v>1610</v>
      </c>
      <c r="I3368">
        <v>1311</v>
      </c>
      <c r="J3368" t="s">
        <v>21</v>
      </c>
      <c r="K3368">
        <v>6</v>
      </c>
      <c r="M3368">
        <v>1698</v>
      </c>
    </row>
    <row r="3369" spans="1:13">
      <c r="A3369">
        <v>3363</v>
      </c>
      <c r="B3369">
        <v>84695</v>
      </c>
      <c r="C3369" t="s">
        <v>7314</v>
      </c>
      <c r="D3369" t="s">
        <v>105</v>
      </c>
      <c r="E3369" t="s">
        <v>7315</v>
      </c>
      <c r="F3369" t="str">
        <f>"00093684"</f>
        <v>00093684</v>
      </c>
      <c r="G3369" t="s">
        <v>481</v>
      </c>
      <c r="H3369" t="s">
        <v>20</v>
      </c>
      <c r="I3369">
        <v>1547</v>
      </c>
      <c r="J3369" t="s">
        <v>21</v>
      </c>
      <c r="K3369">
        <v>0</v>
      </c>
      <c r="M3369">
        <v>1439</v>
      </c>
    </row>
    <row r="3370" spans="1:13">
      <c r="A3370">
        <v>3364</v>
      </c>
      <c r="B3370">
        <v>55417</v>
      </c>
      <c r="C3370" t="s">
        <v>7316</v>
      </c>
      <c r="D3370" t="s">
        <v>5389</v>
      </c>
      <c r="E3370" t="s">
        <v>7317</v>
      </c>
      <c r="F3370" t="str">
        <f>"00069305"</f>
        <v>00069305</v>
      </c>
      <c r="G3370" t="s">
        <v>92</v>
      </c>
      <c r="H3370" t="s">
        <v>20</v>
      </c>
      <c r="I3370">
        <v>1425</v>
      </c>
      <c r="J3370" t="s">
        <v>21</v>
      </c>
      <c r="K3370">
        <v>0</v>
      </c>
      <c r="M3370">
        <v>1688</v>
      </c>
    </row>
    <row r="3371" spans="1:13">
      <c r="A3371">
        <v>3365</v>
      </c>
      <c r="B3371">
        <v>111808</v>
      </c>
      <c r="C3371" t="s">
        <v>7318</v>
      </c>
      <c r="D3371" t="s">
        <v>180</v>
      </c>
      <c r="E3371" t="s">
        <v>7319</v>
      </c>
      <c r="F3371" t="str">
        <f>"00191316"</f>
        <v>00191316</v>
      </c>
      <c r="G3371" t="s">
        <v>520</v>
      </c>
      <c r="H3371" t="s">
        <v>20</v>
      </c>
      <c r="I3371">
        <v>1540</v>
      </c>
      <c r="J3371" t="s">
        <v>21</v>
      </c>
      <c r="K3371">
        <v>0</v>
      </c>
      <c r="M3371">
        <v>1395</v>
      </c>
    </row>
    <row r="3372" spans="1:13">
      <c r="A3372">
        <v>3366</v>
      </c>
      <c r="B3372">
        <v>75221</v>
      </c>
      <c r="C3372" t="s">
        <v>7320</v>
      </c>
      <c r="D3372" t="s">
        <v>7321</v>
      </c>
      <c r="E3372" t="s">
        <v>7322</v>
      </c>
      <c r="F3372" t="str">
        <f>"00222427"</f>
        <v>00222427</v>
      </c>
      <c r="G3372" t="s">
        <v>147</v>
      </c>
      <c r="H3372" t="s">
        <v>20</v>
      </c>
      <c r="I3372">
        <v>1529</v>
      </c>
      <c r="J3372" t="s">
        <v>21</v>
      </c>
      <c r="K3372">
        <v>0</v>
      </c>
      <c r="M3372">
        <v>1628</v>
      </c>
    </row>
    <row r="3373" spans="1:13">
      <c r="A3373">
        <v>3367</v>
      </c>
      <c r="B3373">
        <v>86041</v>
      </c>
      <c r="C3373" t="s">
        <v>7323</v>
      </c>
      <c r="D3373" t="s">
        <v>7324</v>
      </c>
      <c r="E3373" t="s">
        <v>7325</v>
      </c>
      <c r="F3373" t="str">
        <f>"00075607"</f>
        <v>00075607</v>
      </c>
      <c r="G3373" t="s">
        <v>7326</v>
      </c>
      <c r="H3373" t="s">
        <v>137</v>
      </c>
      <c r="I3373">
        <v>1613</v>
      </c>
      <c r="J3373" t="s">
        <v>21</v>
      </c>
      <c r="K3373">
        <v>6</v>
      </c>
      <c r="L3373" t="s">
        <v>35</v>
      </c>
      <c r="M3373">
        <v>860</v>
      </c>
    </row>
    <row r="3374" spans="1:13">
      <c r="A3374">
        <v>3368</v>
      </c>
      <c r="B3374">
        <v>87993</v>
      </c>
      <c r="C3374" t="s">
        <v>7327</v>
      </c>
      <c r="D3374" t="s">
        <v>507</v>
      </c>
      <c r="E3374" t="s">
        <v>7328</v>
      </c>
      <c r="F3374" t="str">
        <f>"00353991"</f>
        <v>00353991</v>
      </c>
      <c r="G3374" t="s">
        <v>713</v>
      </c>
      <c r="H3374" t="s">
        <v>366</v>
      </c>
      <c r="I3374">
        <v>1690</v>
      </c>
      <c r="J3374" t="s">
        <v>21</v>
      </c>
      <c r="K3374">
        <v>0</v>
      </c>
      <c r="L3374" t="s">
        <v>35</v>
      </c>
      <c r="M3374">
        <v>1033</v>
      </c>
    </row>
    <row r="3375" spans="1:13">
      <c r="A3375">
        <v>3369</v>
      </c>
      <c r="B3375">
        <v>68055</v>
      </c>
      <c r="C3375" t="s">
        <v>7329</v>
      </c>
      <c r="D3375" t="s">
        <v>145</v>
      </c>
      <c r="E3375" t="str">
        <f>"064323"</f>
        <v>064323</v>
      </c>
      <c r="F3375" t="str">
        <f>"00402465"</f>
        <v>00402465</v>
      </c>
      <c r="G3375" t="s">
        <v>1079</v>
      </c>
      <c r="H3375" t="s">
        <v>20</v>
      </c>
      <c r="I3375">
        <v>1433</v>
      </c>
      <c r="J3375" t="s">
        <v>21</v>
      </c>
      <c r="K3375">
        <v>0</v>
      </c>
      <c r="M3375">
        <v>1432</v>
      </c>
    </row>
    <row r="3376" spans="1:13">
      <c r="A3376">
        <v>3370</v>
      </c>
      <c r="B3376">
        <v>57951</v>
      </c>
      <c r="C3376" t="s">
        <v>7330</v>
      </c>
      <c r="D3376" t="s">
        <v>145</v>
      </c>
      <c r="E3376" t="s">
        <v>7331</v>
      </c>
      <c r="F3376" t="str">
        <f>"00026355"</f>
        <v>00026355</v>
      </c>
      <c r="G3376" t="s">
        <v>87</v>
      </c>
      <c r="H3376" t="s">
        <v>20</v>
      </c>
      <c r="I3376">
        <v>1436</v>
      </c>
      <c r="J3376" t="s">
        <v>21</v>
      </c>
      <c r="K3376">
        <v>0</v>
      </c>
      <c r="M3376">
        <v>1500</v>
      </c>
    </row>
    <row r="3377" spans="1:13">
      <c r="A3377">
        <v>3371</v>
      </c>
      <c r="B3377">
        <v>83714</v>
      </c>
      <c r="C3377" t="s">
        <v>7332</v>
      </c>
      <c r="D3377" t="s">
        <v>218</v>
      </c>
      <c r="E3377" t="s">
        <v>7333</v>
      </c>
      <c r="F3377" t="str">
        <f>"00088124"</f>
        <v>00088124</v>
      </c>
      <c r="G3377" t="s">
        <v>167</v>
      </c>
      <c r="H3377" t="s">
        <v>20</v>
      </c>
      <c r="I3377">
        <v>1486</v>
      </c>
      <c r="J3377" t="s">
        <v>21</v>
      </c>
      <c r="K3377">
        <v>0</v>
      </c>
      <c r="M3377">
        <v>1568</v>
      </c>
    </row>
    <row r="3378" spans="1:13">
      <c r="A3378">
        <v>3372</v>
      </c>
      <c r="B3378">
        <v>72561</v>
      </c>
      <c r="C3378" t="s">
        <v>7334</v>
      </c>
      <c r="D3378" t="s">
        <v>153</v>
      </c>
      <c r="E3378" t="s">
        <v>7335</v>
      </c>
      <c r="F3378" t="str">
        <f>"201511041364"</f>
        <v>201511041364</v>
      </c>
      <c r="G3378" t="s">
        <v>365</v>
      </c>
      <c r="H3378" t="s">
        <v>366</v>
      </c>
      <c r="I3378">
        <v>1692</v>
      </c>
      <c r="J3378" t="s">
        <v>21</v>
      </c>
      <c r="K3378">
        <v>0</v>
      </c>
      <c r="L3378" t="s">
        <v>35</v>
      </c>
      <c r="M3378">
        <v>907</v>
      </c>
    </row>
    <row r="3379" spans="1:13">
      <c r="A3379">
        <v>3373</v>
      </c>
      <c r="B3379">
        <v>50416</v>
      </c>
      <c r="C3379" t="s">
        <v>7336</v>
      </c>
      <c r="D3379" t="s">
        <v>90</v>
      </c>
      <c r="E3379" t="s">
        <v>7337</v>
      </c>
      <c r="F3379" t="str">
        <f>"00370711"</f>
        <v>00370711</v>
      </c>
      <c r="G3379" t="s">
        <v>2698</v>
      </c>
      <c r="H3379" t="s">
        <v>216</v>
      </c>
      <c r="I3379">
        <v>1709</v>
      </c>
      <c r="J3379" t="s">
        <v>21</v>
      </c>
      <c r="K3379">
        <v>0</v>
      </c>
      <c r="M3379">
        <v>1458</v>
      </c>
    </row>
    <row r="3380" spans="1:13">
      <c r="A3380">
        <v>3374</v>
      </c>
      <c r="B3380">
        <v>63544</v>
      </c>
      <c r="C3380" t="s">
        <v>7338</v>
      </c>
      <c r="D3380" t="s">
        <v>700</v>
      </c>
      <c r="E3380" t="s">
        <v>7339</v>
      </c>
      <c r="F3380" t="str">
        <f>"00328310"</f>
        <v>00328310</v>
      </c>
      <c r="G3380" t="s">
        <v>125</v>
      </c>
      <c r="H3380" t="s">
        <v>20</v>
      </c>
      <c r="I3380">
        <v>1507</v>
      </c>
      <c r="J3380" t="s">
        <v>21</v>
      </c>
      <c r="K3380">
        <v>0</v>
      </c>
      <c r="M3380">
        <v>1388</v>
      </c>
    </row>
    <row r="3381" spans="1:13">
      <c r="A3381">
        <v>3375</v>
      </c>
      <c r="B3381">
        <v>46072</v>
      </c>
      <c r="C3381" t="s">
        <v>7340</v>
      </c>
      <c r="D3381" t="s">
        <v>139</v>
      </c>
      <c r="E3381" t="s">
        <v>7341</v>
      </c>
      <c r="F3381" t="str">
        <f>"00340646"</f>
        <v>00340646</v>
      </c>
      <c r="G3381" t="s">
        <v>721</v>
      </c>
      <c r="H3381" t="s">
        <v>20</v>
      </c>
      <c r="I3381">
        <v>1575</v>
      </c>
      <c r="J3381" t="s">
        <v>21</v>
      </c>
      <c r="K3381">
        <v>0</v>
      </c>
      <c r="M3381">
        <v>1405</v>
      </c>
    </row>
    <row r="3382" spans="1:13">
      <c r="A3382">
        <v>3376</v>
      </c>
      <c r="B3382">
        <v>113814</v>
      </c>
      <c r="C3382" t="s">
        <v>7342</v>
      </c>
      <c r="D3382" t="s">
        <v>105</v>
      </c>
      <c r="E3382" t="s">
        <v>7343</v>
      </c>
      <c r="F3382" t="str">
        <f>"00402448"</f>
        <v>00402448</v>
      </c>
      <c r="G3382" t="s">
        <v>92</v>
      </c>
      <c r="H3382" t="s">
        <v>780</v>
      </c>
      <c r="I3382">
        <v>1402</v>
      </c>
      <c r="J3382" t="s">
        <v>21</v>
      </c>
      <c r="K3382">
        <v>0</v>
      </c>
      <c r="M3382">
        <v>1888</v>
      </c>
    </row>
    <row r="3383" spans="1:13">
      <c r="A3383">
        <v>3377</v>
      </c>
      <c r="B3383">
        <v>68522</v>
      </c>
      <c r="C3383" t="s">
        <v>7344</v>
      </c>
      <c r="D3383" t="s">
        <v>180</v>
      </c>
      <c r="E3383" t="s">
        <v>7345</v>
      </c>
      <c r="F3383" t="str">
        <f>"00400429"</f>
        <v>00400429</v>
      </c>
      <c r="G3383" t="s">
        <v>1125</v>
      </c>
      <c r="H3383" t="s">
        <v>20</v>
      </c>
      <c r="I3383">
        <v>1431</v>
      </c>
      <c r="J3383" t="s">
        <v>21</v>
      </c>
      <c r="K3383">
        <v>0</v>
      </c>
      <c r="M3383">
        <v>1446</v>
      </c>
    </row>
    <row r="3384" spans="1:13">
      <c r="A3384">
        <v>3378</v>
      </c>
      <c r="B3384">
        <v>90278</v>
      </c>
      <c r="C3384" t="s">
        <v>7346</v>
      </c>
      <c r="D3384" t="s">
        <v>180</v>
      </c>
      <c r="E3384" t="s">
        <v>7347</v>
      </c>
      <c r="F3384" t="str">
        <f>"00396066"</f>
        <v>00396066</v>
      </c>
      <c r="G3384" t="s">
        <v>47</v>
      </c>
      <c r="H3384" t="s">
        <v>48</v>
      </c>
      <c r="I3384">
        <v>1623</v>
      </c>
      <c r="J3384" t="s">
        <v>21</v>
      </c>
      <c r="K3384">
        <v>0</v>
      </c>
      <c r="M3384">
        <v>1450</v>
      </c>
    </row>
    <row r="3385" spans="1:13">
      <c r="A3385">
        <v>3379</v>
      </c>
      <c r="B3385">
        <v>62533</v>
      </c>
      <c r="C3385" t="s">
        <v>7348</v>
      </c>
      <c r="D3385" t="s">
        <v>80</v>
      </c>
      <c r="E3385" t="s">
        <v>7349</v>
      </c>
      <c r="F3385" t="str">
        <f>"201511029051"</f>
        <v>201511029051</v>
      </c>
      <c r="G3385" t="s">
        <v>125</v>
      </c>
      <c r="H3385" t="s">
        <v>20</v>
      </c>
      <c r="I3385">
        <v>1507</v>
      </c>
      <c r="J3385" t="s">
        <v>21</v>
      </c>
      <c r="K3385">
        <v>0</v>
      </c>
      <c r="L3385" t="s">
        <v>35</v>
      </c>
      <c r="M3385">
        <v>950</v>
      </c>
    </row>
    <row r="3386" spans="1:13">
      <c r="A3386">
        <v>3380</v>
      </c>
      <c r="B3386">
        <v>81226</v>
      </c>
      <c r="C3386" t="s">
        <v>7350</v>
      </c>
      <c r="D3386" t="s">
        <v>163</v>
      </c>
      <c r="E3386" t="s">
        <v>7351</v>
      </c>
      <c r="F3386" t="str">
        <f>"00404600"</f>
        <v>00404600</v>
      </c>
      <c r="G3386" t="s">
        <v>107</v>
      </c>
      <c r="H3386" t="s">
        <v>20</v>
      </c>
      <c r="I3386">
        <v>1472</v>
      </c>
      <c r="J3386" t="s">
        <v>21</v>
      </c>
      <c r="K3386">
        <v>0</v>
      </c>
      <c r="L3386" t="s">
        <v>59</v>
      </c>
      <c r="M3386">
        <v>1097</v>
      </c>
    </row>
    <row r="3387" spans="1:13">
      <c r="A3387">
        <v>3381</v>
      </c>
      <c r="B3387">
        <v>115075</v>
      </c>
      <c r="C3387" t="s">
        <v>7352</v>
      </c>
      <c r="D3387" t="s">
        <v>76</v>
      </c>
      <c r="E3387" t="s">
        <v>7353</v>
      </c>
      <c r="F3387" t="str">
        <f>"00205747"</f>
        <v>00205747</v>
      </c>
      <c r="G3387" t="s">
        <v>245</v>
      </c>
      <c r="H3387" t="s">
        <v>20</v>
      </c>
      <c r="I3387">
        <v>1406</v>
      </c>
      <c r="J3387" t="s">
        <v>21</v>
      </c>
      <c r="K3387">
        <v>0</v>
      </c>
      <c r="L3387" t="s">
        <v>35</v>
      </c>
      <c r="M3387">
        <v>985</v>
      </c>
    </row>
    <row r="3388" spans="1:13">
      <c r="A3388">
        <v>3382</v>
      </c>
      <c r="B3388">
        <v>76786</v>
      </c>
      <c r="C3388" t="s">
        <v>7354</v>
      </c>
      <c r="D3388" t="s">
        <v>90</v>
      </c>
      <c r="E3388" t="s">
        <v>7355</v>
      </c>
      <c r="F3388" t="str">
        <f>"00019568"</f>
        <v>00019568</v>
      </c>
      <c r="G3388" t="s">
        <v>561</v>
      </c>
      <c r="H3388" t="s">
        <v>20</v>
      </c>
      <c r="I3388">
        <v>1574</v>
      </c>
      <c r="J3388" t="s">
        <v>21</v>
      </c>
      <c r="K3388">
        <v>0</v>
      </c>
      <c r="L3388" t="s">
        <v>35</v>
      </c>
      <c r="M3388">
        <v>900</v>
      </c>
    </row>
    <row r="3389" spans="1:13">
      <c r="A3389">
        <v>3383</v>
      </c>
      <c r="B3389">
        <v>55566</v>
      </c>
      <c r="C3389" t="s">
        <v>7356</v>
      </c>
      <c r="D3389" t="s">
        <v>153</v>
      </c>
      <c r="E3389" t="s">
        <v>7357</v>
      </c>
      <c r="F3389" t="str">
        <f>"00003355"</f>
        <v>00003355</v>
      </c>
      <c r="G3389" t="s">
        <v>47</v>
      </c>
      <c r="H3389" t="s">
        <v>48</v>
      </c>
      <c r="I3389">
        <v>1623</v>
      </c>
      <c r="J3389" t="s">
        <v>21</v>
      </c>
      <c r="K3389">
        <v>0</v>
      </c>
      <c r="L3389" t="s">
        <v>59</v>
      </c>
      <c r="M3389">
        <v>1088</v>
      </c>
    </row>
    <row r="3390" spans="1:13">
      <c r="A3390">
        <v>3384</v>
      </c>
      <c r="B3390">
        <v>66829</v>
      </c>
      <c r="C3390" t="s">
        <v>7358</v>
      </c>
      <c r="D3390" t="s">
        <v>243</v>
      </c>
      <c r="E3390" t="s">
        <v>7359</v>
      </c>
      <c r="F3390" t="str">
        <f>"00079134"</f>
        <v>00079134</v>
      </c>
      <c r="G3390" t="s">
        <v>125</v>
      </c>
      <c r="H3390" t="s">
        <v>20</v>
      </c>
      <c r="I3390">
        <v>1507</v>
      </c>
      <c r="J3390" t="s">
        <v>21</v>
      </c>
      <c r="K3390">
        <v>0</v>
      </c>
      <c r="L3390" t="s">
        <v>35</v>
      </c>
      <c r="M3390">
        <v>958</v>
      </c>
    </row>
    <row r="3391" spans="1:13">
      <c r="A3391">
        <v>3385</v>
      </c>
      <c r="B3391">
        <v>76164</v>
      </c>
      <c r="C3391" t="s">
        <v>7360</v>
      </c>
      <c r="D3391" t="s">
        <v>90</v>
      </c>
      <c r="E3391" t="s">
        <v>7361</v>
      </c>
      <c r="F3391" t="str">
        <f>"00397277"</f>
        <v>00397277</v>
      </c>
      <c r="G3391" t="s">
        <v>798</v>
      </c>
      <c r="H3391" t="s">
        <v>326</v>
      </c>
      <c r="I3391">
        <v>1593</v>
      </c>
      <c r="J3391" t="s">
        <v>21</v>
      </c>
      <c r="K3391">
        <v>0</v>
      </c>
      <c r="L3391" t="s">
        <v>88</v>
      </c>
      <c r="M3391">
        <v>875</v>
      </c>
    </row>
    <row r="3392" spans="1:13">
      <c r="A3392">
        <v>3386</v>
      </c>
      <c r="B3392">
        <v>49197</v>
      </c>
      <c r="C3392" t="s">
        <v>7362</v>
      </c>
      <c r="D3392" t="s">
        <v>288</v>
      </c>
      <c r="E3392" t="s">
        <v>7363</v>
      </c>
      <c r="F3392" t="str">
        <f>"00264114"</f>
        <v>00264114</v>
      </c>
      <c r="G3392" t="s">
        <v>245</v>
      </c>
      <c r="H3392" t="s">
        <v>20</v>
      </c>
      <c r="I3392">
        <v>1406</v>
      </c>
      <c r="J3392" t="s">
        <v>21</v>
      </c>
      <c r="K3392">
        <v>0</v>
      </c>
      <c r="M3392">
        <v>1368</v>
      </c>
    </row>
    <row r="3393" spans="1:13">
      <c r="A3393">
        <v>3387</v>
      </c>
      <c r="B3393">
        <v>48292</v>
      </c>
      <c r="C3393" t="s">
        <v>7364</v>
      </c>
      <c r="D3393" t="s">
        <v>76</v>
      </c>
      <c r="E3393" t="s">
        <v>7365</v>
      </c>
      <c r="F3393" t="str">
        <f>"00090012"</f>
        <v>00090012</v>
      </c>
      <c r="G3393" t="s">
        <v>170</v>
      </c>
      <c r="H3393" t="s">
        <v>738</v>
      </c>
      <c r="I3393">
        <v>1643</v>
      </c>
      <c r="J3393" t="s">
        <v>21</v>
      </c>
      <c r="K3393">
        <v>0</v>
      </c>
      <c r="M3393">
        <v>1388</v>
      </c>
    </row>
    <row r="3394" spans="1:13">
      <c r="A3394">
        <v>3388</v>
      </c>
      <c r="B3394">
        <v>71027</v>
      </c>
      <c r="C3394" t="s">
        <v>7366</v>
      </c>
      <c r="D3394" t="s">
        <v>90</v>
      </c>
      <c r="E3394" t="s">
        <v>7367</v>
      </c>
      <c r="F3394" t="str">
        <f>"00212378"</f>
        <v>00212378</v>
      </c>
      <c r="G3394" t="s">
        <v>125</v>
      </c>
      <c r="H3394" t="s">
        <v>20</v>
      </c>
      <c r="I3394">
        <v>1507</v>
      </c>
      <c r="J3394" t="s">
        <v>21</v>
      </c>
      <c r="K3394">
        <v>0</v>
      </c>
      <c r="L3394" t="s">
        <v>83</v>
      </c>
      <c r="M3394">
        <v>1288</v>
      </c>
    </row>
    <row r="3395" spans="1:13">
      <c r="A3395">
        <v>3389</v>
      </c>
      <c r="B3395">
        <v>46248</v>
      </c>
      <c r="C3395" t="s">
        <v>7368</v>
      </c>
      <c r="D3395" t="s">
        <v>80</v>
      </c>
      <c r="E3395" t="s">
        <v>7369</v>
      </c>
      <c r="F3395" t="str">
        <f>"00253292"</f>
        <v>00253292</v>
      </c>
      <c r="G3395" t="s">
        <v>610</v>
      </c>
      <c r="H3395" t="s">
        <v>20</v>
      </c>
      <c r="I3395">
        <v>1429</v>
      </c>
      <c r="J3395" t="s">
        <v>21</v>
      </c>
      <c r="K3395">
        <v>0</v>
      </c>
      <c r="L3395" t="s">
        <v>35</v>
      </c>
      <c r="M3395">
        <v>908</v>
      </c>
    </row>
    <row r="3396" spans="1:13">
      <c r="A3396">
        <v>3390</v>
      </c>
      <c r="B3396">
        <v>50653</v>
      </c>
      <c r="C3396" t="s">
        <v>7370</v>
      </c>
      <c r="D3396" t="s">
        <v>130</v>
      </c>
      <c r="E3396" t="s">
        <v>7371</v>
      </c>
      <c r="F3396" t="str">
        <f>"00364404"</f>
        <v>00364404</v>
      </c>
      <c r="G3396" t="s">
        <v>344</v>
      </c>
      <c r="H3396" t="s">
        <v>137</v>
      </c>
      <c r="I3396">
        <v>1614</v>
      </c>
      <c r="J3396" t="s">
        <v>21</v>
      </c>
      <c r="K3396">
        <v>0</v>
      </c>
      <c r="L3396" t="s">
        <v>35</v>
      </c>
      <c r="M3396">
        <v>950</v>
      </c>
    </row>
    <row r="3397" spans="1:13">
      <c r="A3397">
        <v>3391</v>
      </c>
      <c r="B3397">
        <v>114227</v>
      </c>
      <c r="C3397" t="s">
        <v>7372</v>
      </c>
      <c r="D3397" t="s">
        <v>80</v>
      </c>
      <c r="E3397" t="s">
        <v>7373</v>
      </c>
      <c r="F3397" t="str">
        <f>"00261077"</f>
        <v>00261077</v>
      </c>
      <c r="G3397" t="s">
        <v>395</v>
      </c>
      <c r="H3397" t="s">
        <v>234</v>
      </c>
      <c r="I3397">
        <v>1336</v>
      </c>
      <c r="J3397" t="s">
        <v>21</v>
      </c>
      <c r="K3397">
        <v>0</v>
      </c>
      <c r="M3397">
        <v>1388</v>
      </c>
    </row>
    <row r="3398" spans="1:13">
      <c r="A3398">
        <v>3392</v>
      </c>
      <c r="B3398">
        <v>79294</v>
      </c>
      <c r="C3398" t="s">
        <v>7374</v>
      </c>
      <c r="D3398" t="s">
        <v>403</v>
      </c>
      <c r="E3398" t="s">
        <v>7375</v>
      </c>
      <c r="F3398" t="str">
        <f>"00372838"</f>
        <v>00372838</v>
      </c>
      <c r="G3398" t="s">
        <v>47</v>
      </c>
      <c r="H3398" t="s">
        <v>48</v>
      </c>
      <c r="I3398">
        <v>1623</v>
      </c>
      <c r="J3398" t="s">
        <v>21</v>
      </c>
      <c r="K3398">
        <v>0</v>
      </c>
      <c r="L3398" t="s">
        <v>401</v>
      </c>
      <c r="M3398">
        <v>1125</v>
      </c>
    </row>
    <row r="3399" spans="1:13">
      <c r="A3399">
        <v>3393</v>
      </c>
      <c r="B3399">
        <v>65840</v>
      </c>
      <c r="C3399" t="s">
        <v>7376</v>
      </c>
      <c r="D3399" t="s">
        <v>105</v>
      </c>
      <c r="E3399" t="s">
        <v>7377</v>
      </c>
      <c r="F3399" t="str">
        <f>"00344716"</f>
        <v>00344716</v>
      </c>
      <c r="G3399" t="s">
        <v>590</v>
      </c>
      <c r="H3399" t="s">
        <v>20</v>
      </c>
      <c r="I3399">
        <v>1451</v>
      </c>
      <c r="J3399" t="s">
        <v>21</v>
      </c>
      <c r="K3399">
        <v>0</v>
      </c>
      <c r="M3399">
        <v>1428</v>
      </c>
    </row>
    <row r="3400" spans="1:13">
      <c r="A3400">
        <v>3394</v>
      </c>
      <c r="B3400">
        <v>97929</v>
      </c>
      <c r="C3400" t="s">
        <v>7378</v>
      </c>
      <c r="D3400" t="s">
        <v>288</v>
      </c>
      <c r="E3400" t="s">
        <v>7379</v>
      </c>
      <c r="F3400" t="str">
        <f>"00271762"</f>
        <v>00271762</v>
      </c>
      <c r="G3400" t="s">
        <v>5456</v>
      </c>
      <c r="H3400" t="s">
        <v>20</v>
      </c>
      <c r="I3400">
        <v>1408</v>
      </c>
      <c r="J3400" t="s">
        <v>21</v>
      </c>
      <c r="K3400">
        <v>0</v>
      </c>
      <c r="L3400" t="s">
        <v>35</v>
      </c>
      <c r="M3400">
        <v>1036</v>
      </c>
    </row>
    <row r="3401" spans="1:13">
      <c r="A3401">
        <v>3395</v>
      </c>
      <c r="B3401">
        <v>59942</v>
      </c>
      <c r="C3401" t="s">
        <v>7380</v>
      </c>
      <c r="D3401" t="s">
        <v>205</v>
      </c>
      <c r="E3401" t="s">
        <v>7381</v>
      </c>
      <c r="F3401" t="str">
        <f>"00240019"</f>
        <v>00240019</v>
      </c>
      <c r="G3401" t="s">
        <v>600</v>
      </c>
      <c r="H3401" t="s">
        <v>1820</v>
      </c>
      <c r="I3401">
        <v>1721</v>
      </c>
      <c r="J3401" t="s">
        <v>21</v>
      </c>
      <c r="K3401">
        <v>0</v>
      </c>
      <c r="M3401">
        <v>1438</v>
      </c>
    </row>
    <row r="3402" spans="1:13">
      <c r="A3402">
        <v>3396</v>
      </c>
      <c r="B3402">
        <v>86488</v>
      </c>
      <c r="C3402" t="s">
        <v>7382</v>
      </c>
      <c r="D3402" t="s">
        <v>80</v>
      </c>
      <c r="E3402" t="s">
        <v>7383</v>
      </c>
      <c r="F3402" t="str">
        <f>"00380783"</f>
        <v>00380783</v>
      </c>
      <c r="G3402" t="s">
        <v>1155</v>
      </c>
      <c r="H3402" t="s">
        <v>20</v>
      </c>
      <c r="I3402">
        <v>1480</v>
      </c>
      <c r="J3402" t="s">
        <v>21</v>
      </c>
      <c r="K3402">
        <v>0</v>
      </c>
      <c r="M3402">
        <v>1728</v>
      </c>
    </row>
    <row r="3403" spans="1:13">
      <c r="A3403">
        <v>3397</v>
      </c>
      <c r="B3403">
        <v>81000</v>
      </c>
      <c r="C3403" t="s">
        <v>7384</v>
      </c>
      <c r="D3403" t="s">
        <v>105</v>
      </c>
      <c r="E3403" t="s">
        <v>7385</v>
      </c>
      <c r="F3403" t="str">
        <f>"00395855"</f>
        <v>00395855</v>
      </c>
      <c r="G3403" t="s">
        <v>1165</v>
      </c>
      <c r="H3403" t="s">
        <v>20</v>
      </c>
      <c r="I3403">
        <v>1422</v>
      </c>
      <c r="J3403" t="s">
        <v>21</v>
      </c>
      <c r="K3403">
        <v>0</v>
      </c>
      <c r="M3403">
        <v>1538</v>
      </c>
    </row>
    <row r="3404" spans="1:13">
      <c r="A3404">
        <v>3398</v>
      </c>
      <c r="B3404">
        <v>49310</v>
      </c>
      <c r="C3404" t="s">
        <v>7386</v>
      </c>
      <c r="D3404" t="s">
        <v>121</v>
      </c>
      <c r="E3404" t="s">
        <v>7387</v>
      </c>
      <c r="F3404" t="str">
        <f>"00363847"</f>
        <v>00363847</v>
      </c>
      <c r="G3404" t="s">
        <v>294</v>
      </c>
      <c r="H3404" t="s">
        <v>20</v>
      </c>
      <c r="I3404">
        <v>1421</v>
      </c>
      <c r="J3404" t="s">
        <v>21</v>
      </c>
      <c r="K3404">
        <v>0</v>
      </c>
      <c r="L3404" t="s">
        <v>83</v>
      </c>
      <c r="M3404">
        <v>1328</v>
      </c>
    </row>
    <row r="3405" spans="1:13">
      <c r="A3405">
        <v>3399</v>
      </c>
      <c r="B3405">
        <v>49189</v>
      </c>
      <c r="C3405" t="s">
        <v>7388</v>
      </c>
      <c r="D3405" t="s">
        <v>288</v>
      </c>
      <c r="E3405" t="s">
        <v>7389</v>
      </c>
      <c r="F3405" t="str">
        <f>"00366102"</f>
        <v>00366102</v>
      </c>
      <c r="G3405" t="s">
        <v>245</v>
      </c>
      <c r="H3405" t="s">
        <v>20</v>
      </c>
      <c r="I3405">
        <v>1406</v>
      </c>
      <c r="J3405" t="s">
        <v>21</v>
      </c>
      <c r="K3405">
        <v>0</v>
      </c>
      <c r="M3405">
        <v>1388</v>
      </c>
    </row>
    <row r="3406" spans="1:13">
      <c r="A3406">
        <v>3400</v>
      </c>
      <c r="B3406">
        <v>68729</v>
      </c>
      <c r="C3406" t="s">
        <v>7390</v>
      </c>
      <c r="D3406" t="s">
        <v>566</v>
      </c>
      <c r="E3406" t="s">
        <v>7391</v>
      </c>
      <c r="F3406" t="str">
        <f>"00283502"</f>
        <v>00283502</v>
      </c>
      <c r="G3406" t="s">
        <v>721</v>
      </c>
      <c r="H3406" t="s">
        <v>20</v>
      </c>
      <c r="I3406">
        <v>1575</v>
      </c>
      <c r="J3406" t="s">
        <v>21</v>
      </c>
      <c r="K3406">
        <v>0</v>
      </c>
      <c r="L3406" t="s">
        <v>35</v>
      </c>
      <c r="M3406">
        <v>900</v>
      </c>
    </row>
    <row r="3407" spans="1:13">
      <c r="A3407">
        <v>3401</v>
      </c>
      <c r="B3407">
        <v>94747</v>
      </c>
      <c r="C3407" t="s">
        <v>7392</v>
      </c>
      <c r="D3407" t="s">
        <v>213</v>
      </c>
      <c r="E3407" t="s">
        <v>7393</v>
      </c>
      <c r="F3407" t="str">
        <f>"00392812"</f>
        <v>00392812</v>
      </c>
      <c r="G3407" t="s">
        <v>29</v>
      </c>
      <c r="H3407" t="s">
        <v>20</v>
      </c>
      <c r="I3407">
        <v>1446</v>
      </c>
      <c r="J3407" t="s">
        <v>21</v>
      </c>
      <c r="K3407">
        <v>0</v>
      </c>
      <c r="M3407">
        <v>1388</v>
      </c>
    </row>
    <row r="3408" spans="1:13">
      <c r="A3408">
        <v>3402</v>
      </c>
      <c r="B3408">
        <v>51636</v>
      </c>
      <c r="C3408" t="s">
        <v>7394</v>
      </c>
      <c r="D3408" t="s">
        <v>105</v>
      </c>
      <c r="E3408" t="s">
        <v>7395</v>
      </c>
      <c r="F3408" t="str">
        <f>"00093275"</f>
        <v>00093275</v>
      </c>
      <c r="G3408" t="s">
        <v>111</v>
      </c>
      <c r="H3408" t="s">
        <v>48</v>
      </c>
      <c r="I3408">
        <v>1620</v>
      </c>
      <c r="J3408" t="s">
        <v>21</v>
      </c>
      <c r="K3408">
        <v>0</v>
      </c>
      <c r="L3408" t="s">
        <v>35</v>
      </c>
      <c r="M3408">
        <v>858</v>
      </c>
    </row>
    <row r="3409" spans="1:13">
      <c r="A3409">
        <v>3403</v>
      </c>
      <c r="B3409">
        <v>73093</v>
      </c>
      <c r="C3409" t="s">
        <v>7396</v>
      </c>
      <c r="D3409" t="s">
        <v>655</v>
      </c>
      <c r="E3409" t="s">
        <v>7397</v>
      </c>
      <c r="F3409" t="str">
        <f>"00397297"</f>
        <v>00397297</v>
      </c>
      <c r="G3409" t="s">
        <v>721</v>
      </c>
      <c r="H3409" t="s">
        <v>20</v>
      </c>
      <c r="I3409">
        <v>1575</v>
      </c>
      <c r="J3409" t="s">
        <v>21</v>
      </c>
      <c r="K3409">
        <v>0</v>
      </c>
      <c r="L3409" t="s">
        <v>88</v>
      </c>
      <c r="M3409">
        <v>500</v>
      </c>
    </row>
    <row r="3410" spans="1:13">
      <c r="A3410">
        <v>3404</v>
      </c>
      <c r="B3410">
        <v>58620</v>
      </c>
      <c r="C3410" t="s">
        <v>7398</v>
      </c>
      <c r="D3410" t="s">
        <v>85</v>
      </c>
      <c r="E3410" t="s">
        <v>7399</v>
      </c>
      <c r="F3410" t="str">
        <f>"00348743"</f>
        <v>00348743</v>
      </c>
      <c r="G3410" t="s">
        <v>3888</v>
      </c>
      <c r="H3410" t="s">
        <v>1610</v>
      </c>
      <c r="I3410">
        <v>1306</v>
      </c>
      <c r="J3410" t="s">
        <v>21</v>
      </c>
      <c r="K3410">
        <v>0</v>
      </c>
      <c r="M3410">
        <v>1818</v>
      </c>
    </row>
    <row r="3411" spans="1:13">
      <c r="A3411">
        <v>3405</v>
      </c>
      <c r="B3411">
        <v>98512</v>
      </c>
      <c r="C3411" t="s">
        <v>7400</v>
      </c>
      <c r="D3411" t="s">
        <v>76</v>
      </c>
      <c r="E3411" t="s">
        <v>7401</v>
      </c>
      <c r="F3411" t="str">
        <f>"00088178"</f>
        <v>00088178</v>
      </c>
      <c r="G3411" t="s">
        <v>155</v>
      </c>
      <c r="H3411" t="s">
        <v>156</v>
      </c>
      <c r="I3411">
        <v>1342</v>
      </c>
      <c r="J3411" t="s">
        <v>21</v>
      </c>
      <c r="K3411">
        <v>0</v>
      </c>
      <c r="L3411" t="s">
        <v>35</v>
      </c>
      <c r="M3411">
        <v>1208</v>
      </c>
    </row>
    <row r="3412" spans="1:13">
      <c r="A3412">
        <v>3406</v>
      </c>
      <c r="B3412">
        <v>102451</v>
      </c>
      <c r="C3412" t="s">
        <v>7402</v>
      </c>
      <c r="D3412" t="s">
        <v>76</v>
      </c>
      <c r="E3412" t="s">
        <v>7403</v>
      </c>
      <c r="F3412" t="str">
        <f>"00401422"</f>
        <v>00401422</v>
      </c>
      <c r="G3412" t="s">
        <v>600</v>
      </c>
      <c r="H3412" t="s">
        <v>234</v>
      </c>
      <c r="I3412">
        <v>1337</v>
      </c>
      <c r="J3412" t="s">
        <v>21</v>
      </c>
      <c r="K3412">
        <v>0</v>
      </c>
      <c r="M3412">
        <v>1488</v>
      </c>
    </row>
    <row r="3413" spans="1:13">
      <c r="A3413">
        <v>3407</v>
      </c>
      <c r="B3413">
        <v>65504</v>
      </c>
      <c r="C3413" t="s">
        <v>7404</v>
      </c>
      <c r="D3413" t="s">
        <v>98</v>
      </c>
      <c r="E3413" t="s">
        <v>7405</v>
      </c>
      <c r="F3413" t="str">
        <f>"00360367"</f>
        <v>00360367</v>
      </c>
      <c r="G3413" t="s">
        <v>7406</v>
      </c>
      <c r="H3413" t="s">
        <v>1610</v>
      </c>
      <c r="I3413">
        <v>1307</v>
      </c>
      <c r="J3413" t="s">
        <v>21</v>
      </c>
      <c r="K3413">
        <v>0</v>
      </c>
      <c r="M3413">
        <v>1478</v>
      </c>
    </row>
    <row r="3414" spans="1:13">
      <c r="A3414">
        <v>3408</v>
      </c>
      <c r="B3414">
        <v>80047</v>
      </c>
      <c r="C3414" t="s">
        <v>7407</v>
      </c>
      <c r="D3414" t="s">
        <v>373</v>
      </c>
      <c r="E3414" t="s">
        <v>7408</v>
      </c>
      <c r="F3414" t="str">
        <f>"00374987"</f>
        <v>00374987</v>
      </c>
      <c r="G3414" t="s">
        <v>284</v>
      </c>
      <c r="H3414" t="s">
        <v>270</v>
      </c>
      <c r="I3414">
        <v>1586</v>
      </c>
      <c r="J3414" t="s">
        <v>21</v>
      </c>
      <c r="K3414">
        <v>0</v>
      </c>
      <c r="M3414">
        <v>1416</v>
      </c>
    </row>
    <row r="3415" spans="1:13">
      <c r="A3415">
        <v>3409</v>
      </c>
      <c r="B3415">
        <v>88695</v>
      </c>
      <c r="C3415" t="s">
        <v>7409</v>
      </c>
      <c r="D3415" t="s">
        <v>105</v>
      </c>
      <c r="E3415" t="s">
        <v>7410</v>
      </c>
      <c r="F3415" t="str">
        <f>"00401619"</f>
        <v>00401619</v>
      </c>
      <c r="G3415" t="s">
        <v>371</v>
      </c>
      <c r="H3415" t="s">
        <v>20</v>
      </c>
      <c r="I3415">
        <v>1526</v>
      </c>
      <c r="J3415" t="s">
        <v>21</v>
      </c>
      <c r="K3415">
        <v>6</v>
      </c>
      <c r="M3415">
        <v>1128</v>
      </c>
    </row>
    <row r="3416" spans="1:13">
      <c r="A3416">
        <v>3410</v>
      </c>
      <c r="B3416">
        <v>110585</v>
      </c>
      <c r="C3416" t="s">
        <v>7411</v>
      </c>
      <c r="D3416" t="s">
        <v>76</v>
      </c>
      <c r="E3416" t="s">
        <v>7412</v>
      </c>
      <c r="F3416" t="str">
        <f>"00392971"</f>
        <v>00392971</v>
      </c>
      <c r="G3416" t="s">
        <v>465</v>
      </c>
      <c r="H3416" t="s">
        <v>20</v>
      </c>
      <c r="I3416">
        <v>1534</v>
      </c>
      <c r="J3416" t="s">
        <v>21</v>
      </c>
      <c r="K3416">
        <v>0</v>
      </c>
      <c r="M3416">
        <v>1358</v>
      </c>
    </row>
    <row r="3417" spans="1:13">
      <c r="A3417">
        <v>3411</v>
      </c>
      <c r="B3417">
        <v>78877</v>
      </c>
      <c r="C3417" t="s">
        <v>7413</v>
      </c>
      <c r="D3417" t="s">
        <v>180</v>
      </c>
      <c r="E3417" t="s">
        <v>7414</v>
      </c>
      <c r="F3417" t="str">
        <f>"00240804"</f>
        <v>00240804</v>
      </c>
      <c r="G3417" t="s">
        <v>47</v>
      </c>
      <c r="H3417" t="s">
        <v>48</v>
      </c>
      <c r="I3417">
        <v>1623</v>
      </c>
      <c r="J3417" t="s">
        <v>21</v>
      </c>
      <c r="K3417">
        <v>0</v>
      </c>
      <c r="L3417" t="s">
        <v>88</v>
      </c>
      <c r="M3417">
        <v>500</v>
      </c>
    </row>
    <row r="3418" spans="1:13">
      <c r="A3418">
        <v>3412</v>
      </c>
      <c r="B3418">
        <v>74268</v>
      </c>
      <c r="C3418" t="s">
        <v>7415</v>
      </c>
      <c r="D3418" t="s">
        <v>2929</v>
      </c>
      <c r="E3418" t="s">
        <v>7416</v>
      </c>
      <c r="F3418" t="str">
        <f>"00259117"</f>
        <v>00259117</v>
      </c>
      <c r="G3418" t="s">
        <v>4036</v>
      </c>
      <c r="H3418" t="s">
        <v>20</v>
      </c>
      <c r="I3418">
        <v>1442</v>
      </c>
      <c r="J3418" t="s">
        <v>21</v>
      </c>
      <c r="K3418">
        <v>0</v>
      </c>
      <c r="M3418">
        <v>1428</v>
      </c>
    </row>
    <row r="3419" spans="1:13">
      <c r="A3419">
        <v>3413</v>
      </c>
      <c r="B3419">
        <v>105803</v>
      </c>
      <c r="C3419" t="s">
        <v>7417</v>
      </c>
      <c r="D3419" t="s">
        <v>76</v>
      </c>
      <c r="E3419">
        <v>209087</v>
      </c>
      <c r="F3419" t="str">
        <f>"00306461"</f>
        <v>00306461</v>
      </c>
      <c r="G3419" t="s">
        <v>47</v>
      </c>
      <c r="H3419" t="s">
        <v>48</v>
      </c>
      <c r="I3419">
        <v>1623</v>
      </c>
      <c r="J3419" t="s">
        <v>21</v>
      </c>
      <c r="K3419">
        <v>0</v>
      </c>
      <c r="L3419" t="s">
        <v>112</v>
      </c>
      <c r="M3419">
        <v>775</v>
      </c>
    </row>
    <row r="3420" spans="1:13">
      <c r="A3420">
        <v>3414</v>
      </c>
      <c r="B3420">
        <v>61213</v>
      </c>
      <c r="C3420" t="s">
        <v>7418</v>
      </c>
      <c r="D3420" t="s">
        <v>105</v>
      </c>
      <c r="E3420" t="s">
        <v>7419</v>
      </c>
      <c r="F3420" t="str">
        <f>"201507003893"</f>
        <v>201507003893</v>
      </c>
      <c r="G3420" t="s">
        <v>709</v>
      </c>
      <c r="H3420" t="s">
        <v>20</v>
      </c>
      <c r="I3420">
        <v>1413</v>
      </c>
      <c r="J3420" t="s">
        <v>21</v>
      </c>
      <c r="K3420">
        <v>0</v>
      </c>
      <c r="L3420" t="s">
        <v>35</v>
      </c>
      <c r="M3420">
        <v>875</v>
      </c>
    </row>
    <row r="3421" spans="1:13">
      <c r="A3421">
        <v>3415</v>
      </c>
      <c r="B3421">
        <v>104660</v>
      </c>
      <c r="C3421" t="s">
        <v>7420</v>
      </c>
      <c r="D3421" t="s">
        <v>98</v>
      </c>
      <c r="E3421" t="s">
        <v>7421</v>
      </c>
      <c r="F3421" t="str">
        <f>"00281014"</f>
        <v>00281014</v>
      </c>
      <c r="G3421" t="s">
        <v>245</v>
      </c>
      <c r="H3421" t="s">
        <v>20</v>
      </c>
      <c r="I3421">
        <v>1406</v>
      </c>
      <c r="J3421" t="s">
        <v>21</v>
      </c>
      <c r="K3421">
        <v>0</v>
      </c>
      <c r="M3421">
        <v>1388</v>
      </c>
    </row>
    <row r="3422" spans="1:13">
      <c r="A3422">
        <v>3416</v>
      </c>
      <c r="B3422">
        <v>48301</v>
      </c>
      <c r="C3422" t="s">
        <v>7422</v>
      </c>
      <c r="D3422" t="s">
        <v>198</v>
      </c>
      <c r="E3422" t="s">
        <v>7423</v>
      </c>
      <c r="F3422" t="str">
        <f>"00346903"</f>
        <v>00346903</v>
      </c>
      <c r="G3422" t="s">
        <v>371</v>
      </c>
      <c r="H3422" t="s">
        <v>20</v>
      </c>
      <c r="I3422">
        <v>1526</v>
      </c>
      <c r="J3422" t="s">
        <v>21</v>
      </c>
      <c r="K3422">
        <v>6</v>
      </c>
      <c r="L3422" t="s">
        <v>35</v>
      </c>
      <c r="M3422">
        <v>438</v>
      </c>
    </row>
    <row r="3423" spans="1:13">
      <c r="A3423">
        <v>3417</v>
      </c>
      <c r="B3423">
        <v>93764</v>
      </c>
      <c r="C3423" t="s">
        <v>7424</v>
      </c>
      <c r="D3423" t="s">
        <v>73</v>
      </c>
      <c r="E3423" t="s">
        <v>7425</v>
      </c>
      <c r="F3423" t="str">
        <f>"00208837"</f>
        <v>00208837</v>
      </c>
      <c r="G3423" t="s">
        <v>1239</v>
      </c>
      <c r="H3423" t="s">
        <v>1296</v>
      </c>
      <c r="I3423">
        <v>1638</v>
      </c>
      <c r="J3423" t="s">
        <v>21</v>
      </c>
      <c r="K3423">
        <v>0</v>
      </c>
      <c r="L3423" t="s">
        <v>35</v>
      </c>
      <c r="M3423">
        <v>1108</v>
      </c>
    </row>
    <row r="3424" spans="1:13">
      <c r="A3424">
        <v>3418</v>
      </c>
      <c r="B3424">
        <v>117056</v>
      </c>
      <c r="C3424" t="s">
        <v>7426</v>
      </c>
      <c r="D3424" t="s">
        <v>105</v>
      </c>
      <c r="E3424" t="s">
        <v>7427</v>
      </c>
      <c r="F3424" t="str">
        <f>"00419584"</f>
        <v>00419584</v>
      </c>
      <c r="G3424" t="s">
        <v>4036</v>
      </c>
      <c r="H3424" t="s">
        <v>20</v>
      </c>
      <c r="I3424">
        <v>1442</v>
      </c>
      <c r="J3424" t="s">
        <v>21</v>
      </c>
      <c r="K3424">
        <v>0</v>
      </c>
      <c r="L3424" t="s">
        <v>35</v>
      </c>
      <c r="M3424">
        <v>1008</v>
      </c>
    </row>
    <row r="3425" spans="1:13">
      <c r="A3425">
        <v>3419</v>
      </c>
      <c r="B3425">
        <v>69693</v>
      </c>
      <c r="C3425" t="s">
        <v>7428</v>
      </c>
      <c r="D3425" t="s">
        <v>85</v>
      </c>
      <c r="E3425" t="s">
        <v>7429</v>
      </c>
      <c r="F3425" t="str">
        <f>"201511012387"</f>
        <v>201511012387</v>
      </c>
      <c r="G3425" t="s">
        <v>371</v>
      </c>
      <c r="H3425" t="s">
        <v>5917</v>
      </c>
      <c r="I3425">
        <v>1317</v>
      </c>
      <c r="J3425" t="s">
        <v>21</v>
      </c>
      <c r="K3425">
        <v>6</v>
      </c>
      <c r="L3425" t="s">
        <v>35</v>
      </c>
      <c r="M3425">
        <v>708</v>
      </c>
    </row>
    <row r="3426" spans="1:13">
      <c r="A3426">
        <v>3420</v>
      </c>
      <c r="B3426">
        <v>74383</v>
      </c>
      <c r="C3426" t="s">
        <v>7430</v>
      </c>
      <c r="D3426" t="s">
        <v>180</v>
      </c>
      <c r="E3426" t="s">
        <v>7431</v>
      </c>
      <c r="F3426" t="str">
        <f>"00255470"</f>
        <v>00255470</v>
      </c>
      <c r="G3426" t="s">
        <v>994</v>
      </c>
      <c r="H3426" t="s">
        <v>20</v>
      </c>
      <c r="I3426">
        <v>1522</v>
      </c>
      <c r="J3426" t="s">
        <v>21</v>
      </c>
      <c r="K3426">
        <v>0</v>
      </c>
      <c r="M3426">
        <v>1518</v>
      </c>
    </row>
    <row r="3427" spans="1:13">
      <c r="A3427">
        <v>3421</v>
      </c>
      <c r="B3427">
        <v>79864</v>
      </c>
      <c r="C3427" t="s">
        <v>7432</v>
      </c>
      <c r="D3427" t="s">
        <v>213</v>
      </c>
      <c r="E3427" t="s">
        <v>7433</v>
      </c>
      <c r="F3427" t="str">
        <f>"00089078"</f>
        <v>00089078</v>
      </c>
      <c r="G3427" t="s">
        <v>713</v>
      </c>
      <c r="H3427" t="s">
        <v>366</v>
      </c>
      <c r="I3427">
        <v>1690</v>
      </c>
      <c r="J3427" t="s">
        <v>21</v>
      </c>
      <c r="K3427">
        <v>0</v>
      </c>
      <c r="L3427" t="s">
        <v>83</v>
      </c>
      <c r="M3427">
        <v>1328</v>
      </c>
    </row>
    <row r="3428" spans="1:13">
      <c r="A3428">
        <v>3422</v>
      </c>
      <c r="B3428">
        <v>113194</v>
      </c>
      <c r="C3428" t="s">
        <v>7434</v>
      </c>
      <c r="D3428" t="s">
        <v>76</v>
      </c>
      <c r="E3428" t="s">
        <v>7435</v>
      </c>
      <c r="F3428" t="str">
        <f>"201511008388"</f>
        <v>201511008388</v>
      </c>
      <c r="G3428" t="s">
        <v>760</v>
      </c>
      <c r="H3428" t="s">
        <v>20</v>
      </c>
      <c r="I3428">
        <v>1432</v>
      </c>
      <c r="J3428" t="s">
        <v>21</v>
      </c>
      <c r="K3428">
        <v>0</v>
      </c>
      <c r="M3428">
        <v>1528</v>
      </c>
    </row>
    <row r="3429" spans="1:13">
      <c r="A3429">
        <v>3423</v>
      </c>
      <c r="B3429">
        <v>65613</v>
      </c>
      <c r="C3429" t="s">
        <v>7436</v>
      </c>
      <c r="D3429" t="s">
        <v>121</v>
      </c>
      <c r="E3429" t="s">
        <v>7437</v>
      </c>
      <c r="F3429" t="str">
        <f>"201511005727"</f>
        <v>201511005727</v>
      </c>
      <c r="G3429" t="s">
        <v>184</v>
      </c>
      <c r="H3429" t="s">
        <v>2407</v>
      </c>
      <c r="I3429">
        <v>1617</v>
      </c>
      <c r="J3429" t="s">
        <v>21</v>
      </c>
      <c r="K3429">
        <v>0</v>
      </c>
      <c r="M3429">
        <v>1288</v>
      </c>
    </row>
    <row r="3430" spans="1:13">
      <c r="A3430">
        <v>3424</v>
      </c>
      <c r="B3430">
        <v>91816</v>
      </c>
      <c r="C3430" t="s">
        <v>7438</v>
      </c>
      <c r="D3430" t="s">
        <v>117</v>
      </c>
      <c r="E3430" t="s">
        <v>7439</v>
      </c>
      <c r="F3430" t="str">
        <f>"00398879"</f>
        <v>00398879</v>
      </c>
      <c r="G3430" t="s">
        <v>150</v>
      </c>
      <c r="H3430" t="s">
        <v>151</v>
      </c>
      <c r="I3430">
        <v>1699</v>
      </c>
      <c r="J3430" t="s">
        <v>21</v>
      </c>
      <c r="K3430">
        <v>0</v>
      </c>
      <c r="L3430" t="s">
        <v>35</v>
      </c>
      <c r="M3430">
        <v>908</v>
      </c>
    </row>
    <row r="3431" spans="1:13">
      <c r="A3431">
        <v>3425</v>
      </c>
      <c r="B3431">
        <v>105811</v>
      </c>
      <c r="C3431" t="s">
        <v>7440</v>
      </c>
      <c r="D3431" t="s">
        <v>105</v>
      </c>
      <c r="E3431" t="s">
        <v>7441</v>
      </c>
      <c r="F3431" t="str">
        <f>"00160254"</f>
        <v>00160254</v>
      </c>
      <c r="G3431" t="s">
        <v>1005</v>
      </c>
      <c r="H3431" t="s">
        <v>20</v>
      </c>
      <c r="I3431">
        <v>1580</v>
      </c>
      <c r="J3431" t="s">
        <v>21</v>
      </c>
      <c r="K3431">
        <v>6</v>
      </c>
      <c r="M3431">
        <v>1328</v>
      </c>
    </row>
    <row r="3432" spans="1:13">
      <c r="A3432">
        <v>3426</v>
      </c>
      <c r="B3432">
        <v>106296</v>
      </c>
      <c r="C3432" t="s">
        <v>7442</v>
      </c>
      <c r="D3432" t="s">
        <v>76</v>
      </c>
      <c r="E3432" t="s">
        <v>7443</v>
      </c>
      <c r="F3432" t="str">
        <f>"00407416"</f>
        <v>00407416</v>
      </c>
      <c r="G3432" t="s">
        <v>955</v>
      </c>
      <c r="H3432" t="s">
        <v>48</v>
      </c>
      <c r="I3432">
        <v>1630</v>
      </c>
      <c r="J3432" t="s">
        <v>21</v>
      </c>
      <c r="K3432">
        <v>0</v>
      </c>
      <c r="L3432" t="s">
        <v>35</v>
      </c>
      <c r="M3432">
        <v>858</v>
      </c>
    </row>
    <row r="3433" spans="1:13">
      <c r="A3433">
        <v>3427</v>
      </c>
      <c r="B3433">
        <v>76392</v>
      </c>
      <c r="C3433" t="s">
        <v>7444</v>
      </c>
      <c r="D3433" t="s">
        <v>218</v>
      </c>
      <c r="E3433" t="s">
        <v>7445</v>
      </c>
      <c r="F3433" t="str">
        <f>"00370963"</f>
        <v>00370963</v>
      </c>
      <c r="G3433" t="s">
        <v>1321</v>
      </c>
      <c r="H3433" t="s">
        <v>234</v>
      </c>
      <c r="I3433">
        <v>1330</v>
      </c>
      <c r="J3433" t="s">
        <v>21</v>
      </c>
      <c r="K3433">
        <v>0</v>
      </c>
      <c r="M3433">
        <v>1468</v>
      </c>
    </row>
    <row r="3434" spans="1:13">
      <c r="A3434">
        <v>3428</v>
      </c>
      <c r="B3434">
        <v>100661</v>
      </c>
      <c r="C3434" t="s">
        <v>7446</v>
      </c>
      <c r="D3434" t="s">
        <v>7447</v>
      </c>
      <c r="E3434" t="s">
        <v>7448</v>
      </c>
      <c r="F3434" t="str">
        <f>"00395127"</f>
        <v>00395127</v>
      </c>
      <c r="G3434" t="s">
        <v>600</v>
      </c>
      <c r="H3434" t="s">
        <v>366</v>
      </c>
      <c r="I3434">
        <v>1694</v>
      </c>
      <c r="J3434" t="s">
        <v>21</v>
      </c>
      <c r="K3434">
        <v>0</v>
      </c>
      <c r="M3434">
        <v>1328</v>
      </c>
    </row>
    <row r="3435" spans="1:13">
      <c r="A3435">
        <v>3429</v>
      </c>
      <c r="B3435">
        <v>99102</v>
      </c>
      <c r="C3435" t="s">
        <v>7449</v>
      </c>
      <c r="D3435" t="s">
        <v>391</v>
      </c>
      <c r="E3435" t="s">
        <v>7450</v>
      </c>
      <c r="F3435" t="str">
        <f>"00373660"</f>
        <v>00373660</v>
      </c>
      <c r="G3435" t="s">
        <v>155</v>
      </c>
      <c r="H3435" t="s">
        <v>156</v>
      </c>
      <c r="I3435">
        <v>1342</v>
      </c>
      <c r="J3435" t="s">
        <v>21</v>
      </c>
      <c r="K3435">
        <v>0</v>
      </c>
      <c r="L3435" t="s">
        <v>35</v>
      </c>
      <c r="M3435">
        <v>1135</v>
      </c>
    </row>
    <row r="3436" spans="1:13">
      <c r="A3436">
        <v>3430</v>
      </c>
      <c r="B3436">
        <v>69485</v>
      </c>
      <c r="C3436" t="s">
        <v>7451</v>
      </c>
      <c r="D3436" t="s">
        <v>2547</v>
      </c>
      <c r="E3436" t="s">
        <v>7452</v>
      </c>
      <c r="F3436" t="str">
        <f>"00394246"</f>
        <v>00394246</v>
      </c>
      <c r="G3436" t="s">
        <v>107</v>
      </c>
      <c r="H3436" t="s">
        <v>20</v>
      </c>
      <c r="I3436">
        <v>1472</v>
      </c>
      <c r="J3436" t="s">
        <v>21</v>
      </c>
      <c r="K3436">
        <v>0</v>
      </c>
      <c r="L3436" t="s">
        <v>35</v>
      </c>
      <c r="M3436">
        <v>908</v>
      </c>
    </row>
    <row r="3437" spans="1:13">
      <c r="A3437">
        <v>3431</v>
      </c>
      <c r="B3437">
        <v>77318</v>
      </c>
      <c r="C3437" t="s">
        <v>7453</v>
      </c>
      <c r="D3437" t="s">
        <v>566</v>
      </c>
      <c r="E3437" t="s">
        <v>7454</v>
      </c>
      <c r="F3437" t="str">
        <f>"00084010"</f>
        <v>00084010</v>
      </c>
      <c r="G3437" t="s">
        <v>258</v>
      </c>
      <c r="H3437" t="s">
        <v>20</v>
      </c>
      <c r="I3437">
        <v>1484</v>
      </c>
      <c r="J3437" t="s">
        <v>21</v>
      </c>
      <c r="K3437">
        <v>0</v>
      </c>
      <c r="L3437" t="s">
        <v>35</v>
      </c>
      <c r="M3437">
        <v>875</v>
      </c>
    </row>
    <row r="3438" spans="1:13">
      <c r="A3438">
        <v>3432</v>
      </c>
      <c r="B3438">
        <v>48910</v>
      </c>
      <c r="C3438" t="s">
        <v>7455</v>
      </c>
      <c r="D3438" t="s">
        <v>98</v>
      </c>
      <c r="E3438" t="s">
        <v>7456</v>
      </c>
      <c r="F3438" t="str">
        <f>"00369946"</f>
        <v>00369946</v>
      </c>
      <c r="G3438" t="s">
        <v>230</v>
      </c>
      <c r="H3438" t="s">
        <v>20</v>
      </c>
      <c r="I3438">
        <v>1545</v>
      </c>
      <c r="J3438" t="s">
        <v>21</v>
      </c>
      <c r="K3438">
        <v>0</v>
      </c>
      <c r="L3438" t="s">
        <v>88</v>
      </c>
      <c r="M3438">
        <v>671</v>
      </c>
    </row>
    <row r="3439" spans="1:13">
      <c r="A3439">
        <v>3433</v>
      </c>
      <c r="B3439">
        <v>46810</v>
      </c>
      <c r="C3439" t="s">
        <v>7457</v>
      </c>
      <c r="D3439" t="s">
        <v>76</v>
      </c>
      <c r="E3439" t="s">
        <v>7458</v>
      </c>
      <c r="F3439" t="str">
        <f>"00368487"</f>
        <v>00368487</v>
      </c>
      <c r="G3439" t="s">
        <v>1630</v>
      </c>
      <c r="H3439" t="s">
        <v>1631</v>
      </c>
      <c r="I3439">
        <v>1376</v>
      </c>
      <c r="J3439" t="s">
        <v>21</v>
      </c>
      <c r="K3439">
        <v>0</v>
      </c>
      <c r="L3439" t="s">
        <v>35</v>
      </c>
      <c r="M3439">
        <v>1172</v>
      </c>
    </row>
    <row r="3440" spans="1:13">
      <c r="A3440">
        <v>3434</v>
      </c>
      <c r="B3440">
        <v>113982</v>
      </c>
      <c r="C3440" t="s">
        <v>7459</v>
      </c>
      <c r="D3440" t="s">
        <v>90</v>
      </c>
      <c r="E3440" t="s">
        <v>7460</v>
      </c>
      <c r="F3440" t="str">
        <f>"00335128"</f>
        <v>00335128</v>
      </c>
      <c r="G3440" t="s">
        <v>1890</v>
      </c>
      <c r="H3440" t="s">
        <v>3499</v>
      </c>
      <c r="I3440">
        <v>1672</v>
      </c>
      <c r="J3440" t="s">
        <v>21</v>
      </c>
      <c r="K3440">
        <v>0</v>
      </c>
      <c r="M3440">
        <v>1388</v>
      </c>
    </row>
    <row r="3441" spans="1:13">
      <c r="A3441">
        <v>3435</v>
      </c>
      <c r="B3441">
        <v>115659</v>
      </c>
      <c r="C3441" t="s">
        <v>7461</v>
      </c>
      <c r="D3441" t="s">
        <v>243</v>
      </c>
      <c r="E3441" t="s">
        <v>7462</v>
      </c>
      <c r="F3441" t="str">
        <f>"00411440"</f>
        <v>00411440</v>
      </c>
      <c r="G3441" t="s">
        <v>1995</v>
      </c>
      <c r="H3441" t="s">
        <v>20</v>
      </c>
      <c r="I3441">
        <v>1508</v>
      </c>
      <c r="J3441" t="s">
        <v>21</v>
      </c>
      <c r="K3441">
        <v>0</v>
      </c>
      <c r="M3441">
        <v>1428</v>
      </c>
    </row>
    <row r="3442" spans="1:13">
      <c r="A3442">
        <v>3436</v>
      </c>
      <c r="B3442">
        <v>81654</v>
      </c>
      <c r="C3442" t="s">
        <v>7463</v>
      </c>
      <c r="D3442" t="s">
        <v>65</v>
      </c>
      <c r="E3442" t="s">
        <v>7464</v>
      </c>
      <c r="F3442" t="str">
        <f>"201511011457"</f>
        <v>201511011457</v>
      </c>
      <c r="G3442" t="s">
        <v>329</v>
      </c>
      <c r="H3442" t="s">
        <v>20</v>
      </c>
      <c r="I3442">
        <v>1509</v>
      </c>
      <c r="J3442" t="s">
        <v>21</v>
      </c>
      <c r="K3442">
        <v>0</v>
      </c>
      <c r="M3442">
        <v>1368</v>
      </c>
    </row>
    <row r="3443" spans="1:13">
      <c r="A3443">
        <v>3437</v>
      </c>
      <c r="B3443">
        <v>62434</v>
      </c>
      <c r="C3443" t="s">
        <v>7465</v>
      </c>
      <c r="D3443" t="s">
        <v>180</v>
      </c>
      <c r="E3443" t="s">
        <v>7466</v>
      </c>
      <c r="F3443" t="str">
        <f>"00186130"</f>
        <v>00186130</v>
      </c>
      <c r="G3443" t="s">
        <v>170</v>
      </c>
      <c r="H3443" t="s">
        <v>20</v>
      </c>
      <c r="I3443">
        <v>1412</v>
      </c>
      <c r="J3443" t="s">
        <v>21</v>
      </c>
      <c r="K3443">
        <v>0</v>
      </c>
      <c r="L3443" t="s">
        <v>88</v>
      </c>
      <c r="M3443">
        <v>475</v>
      </c>
    </row>
    <row r="3444" spans="1:13">
      <c r="A3444">
        <v>3438</v>
      </c>
      <c r="B3444">
        <v>64572</v>
      </c>
      <c r="C3444" t="s">
        <v>7467</v>
      </c>
      <c r="D3444" t="s">
        <v>127</v>
      </c>
      <c r="E3444" t="s">
        <v>7468</v>
      </c>
      <c r="F3444" t="str">
        <f>"00234871"</f>
        <v>00234871</v>
      </c>
      <c r="G3444" t="s">
        <v>646</v>
      </c>
      <c r="H3444" t="s">
        <v>234</v>
      </c>
      <c r="I3444">
        <v>1333</v>
      </c>
      <c r="J3444" t="s">
        <v>21</v>
      </c>
      <c r="K3444">
        <v>6</v>
      </c>
      <c r="L3444" t="s">
        <v>35</v>
      </c>
      <c r="M3444">
        <v>1108</v>
      </c>
    </row>
    <row r="3445" spans="1:13">
      <c r="A3445">
        <v>3439</v>
      </c>
      <c r="B3445">
        <v>106239</v>
      </c>
      <c r="C3445" t="s">
        <v>7469</v>
      </c>
      <c r="D3445" t="s">
        <v>213</v>
      </c>
      <c r="E3445" t="s">
        <v>7470</v>
      </c>
      <c r="F3445" t="str">
        <f>"00364240"</f>
        <v>00364240</v>
      </c>
      <c r="G3445" t="s">
        <v>7471</v>
      </c>
      <c r="H3445" t="s">
        <v>20</v>
      </c>
      <c r="I3445">
        <v>1555</v>
      </c>
      <c r="J3445" t="s">
        <v>21</v>
      </c>
      <c r="K3445">
        <v>6</v>
      </c>
      <c r="M3445">
        <v>1078</v>
      </c>
    </row>
    <row r="3446" spans="1:13">
      <c r="A3446">
        <v>3440</v>
      </c>
      <c r="B3446">
        <v>55781</v>
      </c>
      <c r="C3446" t="s">
        <v>7472</v>
      </c>
      <c r="D3446" t="s">
        <v>105</v>
      </c>
      <c r="E3446" t="s">
        <v>7473</v>
      </c>
      <c r="F3446" t="str">
        <f>"00301636"</f>
        <v>00301636</v>
      </c>
      <c r="G3446" t="s">
        <v>107</v>
      </c>
      <c r="H3446" t="s">
        <v>20</v>
      </c>
      <c r="I3446">
        <v>1472</v>
      </c>
      <c r="J3446" t="s">
        <v>21</v>
      </c>
      <c r="K3446">
        <v>0</v>
      </c>
      <c r="L3446" t="s">
        <v>88</v>
      </c>
      <c r="M3446">
        <v>560</v>
      </c>
    </row>
    <row r="3447" spans="1:13">
      <c r="A3447">
        <v>3441</v>
      </c>
      <c r="B3447">
        <v>89845</v>
      </c>
      <c r="C3447" t="s">
        <v>7474</v>
      </c>
      <c r="D3447" t="s">
        <v>80</v>
      </c>
      <c r="E3447" t="s">
        <v>7475</v>
      </c>
      <c r="F3447" t="str">
        <f>"00423241"</f>
        <v>00423241</v>
      </c>
      <c r="G3447" t="s">
        <v>1155</v>
      </c>
      <c r="H3447" t="s">
        <v>20</v>
      </c>
      <c r="I3447">
        <v>1480</v>
      </c>
      <c r="J3447" t="s">
        <v>21</v>
      </c>
      <c r="K3447">
        <v>0</v>
      </c>
      <c r="L3447" t="s">
        <v>83</v>
      </c>
      <c r="M3447">
        <v>1488</v>
      </c>
    </row>
    <row r="3448" spans="1:13">
      <c r="A3448">
        <v>3442</v>
      </c>
      <c r="B3448">
        <v>90972</v>
      </c>
      <c r="C3448" t="s">
        <v>7476</v>
      </c>
      <c r="D3448" t="s">
        <v>209</v>
      </c>
      <c r="E3448" t="s">
        <v>7477</v>
      </c>
      <c r="F3448" t="str">
        <f>"00271377"</f>
        <v>00271377</v>
      </c>
      <c r="G3448" t="s">
        <v>42</v>
      </c>
      <c r="H3448" t="s">
        <v>43</v>
      </c>
      <c r="I3448">
        <v>1712</v>
      </c>
      <c r="J3448" t="s">
        <v>21</v>
      </c>
      <c r="K3448">
        <v>0</v>
      </c>
      <c r="L3448" t="s">
        <v>88</v>
      </c>
      <c r="M3448">
        <v>708</v>
      </c>
    </row>
    <row r="3449" spans="1:13">
      <c r="A3449">
        <v>3443</v>
      </c>
      <c r="B3449">
        <v>70104</v>
      </c>
      <c r="C3449" t="s">
        <v>7478</v>
      </c>
      <c r="D3449" t="s">
        <v>76</v>
      </c>
      <c r="E3449" t="s">
        <v>7479</v>
      </c>
      <c r="F3449" t="str">
        <f>"00382052"</f>
        <v>00382052</v>
      </c>
      <c r="G3449" t="s">
        <v>2710</v>
      </c>
      <c r="H3449" t="s">
        <v>366</v>
      </c>
      <c r="I3449">
        <v>1691</v>
      </c>
      <c r="J3449" t="s">
        <v>21</v>
      </c>
      <c r="K3449">
        <v>0</v>
      </c>
      <c r="M3449">
        <v>1693</v>
      </c>
    </row>
    <row r="3450" spans="1:13">
      <c r="A3450">
        <v>3444</v>
      </c>
      <c r="B3450">
        <v>95447</v>
      </c>
      <c r="C3450" t="s">
        <v>7480</v>
      </c>
      <c r="D3450" t="s">
        <v>76</v>
      </c>
      <c r="E3450" t="s">
        <v>7481</v>
      </c>
      <c r="F3450" t="str">
        <f>"00212454"</f>
        <v>00212454</v>
      </c>
      <c r="G3450" t="s">
        <v>583</v>
      </c>
      <c r="H3450" t="s">
        <v>137</v>
      </c>
      <c r="I3450">
        <v>1601</v>
      </c>
      <c r="J3450" t="s">
        <v>21</v>
      </c>
      <c r="K3450">
        <v>0</v>
      </c>
      <c r="M3450">
        <v>1488</v>
      </c>
    </row>
    <row r="3451" spans="1:13">
      <c r="A3451">
        <v>3445</v>
      </c>
      <c r="B3451">
        <v>78315</v>
      </c>
      <c r="C3451" t="s">
        <v>7482</v>
      </c>
      <c r="D3451" t="s">
        <v>139</v>
      </c>
      <c r="E3451" t="s">
        <v>7483</v>
      </c>
      <c r="F3451" t="str">
        <f>"201511020937"</f>
        <v>201511020937</v>
      </c>
      <c r="G3451" t="s">
        <v>1764</v>
      </c>
      <c r="H3451" t="s">
        <v>20</v>
      </c>
      <c r="I3451">
        <v>1532</v>
      </c>
      <c r="J3451" t="s">
        <v>21</v>
      </c>
      <c r="K3451">
        <v>0</v>
      </c>
      <c r="L3451" t="s">
        <v>88</v>
      </c>
      <c r="M3451">
        <v>477</v>
      </c>
    </row>
    <row r="3452" spans="1:13">
      <c r="A3452">
        <v>3446</v>
      </c>
      <c r="B3452">
        <v>53260</v>
      </c>
      <c r="C3452" t="s">
        <v>7484</v>
      </c>
      <c r="D3452" t="s">
        <v>5381</v>
      </c>
      <c r="E3452" t="s">
        <v>7485</v>
      </c>
      <c r="F3452" t="str">
        <f>"00346792"</f>
        <v>00346792</v>
      </c>
      <c r="G3452" t="s">
        <v>150</v>
      </c>
      <c r="H3452" t="s">
        <v>151</v>
      </c>
      <c r="I3452">
        <v>1699</v>
      </c>
      <c r="J3452" t="s">
        <v>21</v>
      </c>
      <c r="K3452">
        <v>0</v>
      </c>
      <c r="L3452" t="s">
        <v>35</v>
      </c>
      <c r="M3452">
        <v>913</v>
      </c>
    </row>
    <row r="3453" spans="1:13">
      <c r="A3453">
        <v>3447</v>
      </c>
      <c r="B3453">
        <v>102479</v>
      </c>
      <c r="C3453" t="s">
        <v>7486</v>
      </c>
      <c r="D3453" t="s">
        <v>2623</v>
      </c>
      <c r="E3453" t="s">
        <v>7487</v>
      </c>
      <c r="F3453" t="str">
        <f>"00372966"</f>
        <v>00372966</v>
      </c>
      <c r="G3453" t="s">
        <v>1883</v>
      </c>
      <c r="H3453" t="s">
        <v>20</v>
      </c>
      <c r="I3453">
        <v>1541</v>
      </c>
      <c r="J3453" t="s">
        <v>21</v>
      </c>
      <c r="K3453">
        <v>6</v>
      </c>
      <c r="M3453">
        <v>2208</v>
      </c>
    </row>
    <row r="3454" spans="1:13">
      <c r="A3454">
        <v>3448</v>
      </c>
      <c r="B3454">
        <v>83905</v>
      </c>
      <c r="C3454" t="s">
        <v>7488</v>
      </c>
      <c r="D3454" t="s">
        <v>139</v>
      </c>
      <c r="E3454" t="s">
        <v>7489</v>
      </c>
      <c r="F3454" t="str">
        <f>"00384245"</f>
        <v>00384245</v>
      </c>
      <c r="G3454" t="s">
        <v>798</v>
      </c>
      <c r="H3454" t="s">
        <v>326</v>
      </c>
      <c r="I3454">
        <v>1593</v>
      </c>
      <c r="J3454" t="s">
        <v>21</v>
      </c>
      <c r="K3454">
        <v>0</v>
      </c>
      <c r="L3454" t="s">
        <v>83</v>
      </c>
      <c r="M3454">
        <v>1318</v>
      </c>
    </row>
    <row r="3455" spans="1:13">
      <c r="A3455">
        <v>3449</v>
      </c>
      <c r="B3455">
        <v>63898</v>
      </c>
      <c r="C3455" t="s">
        <v>7490</v>
      </c>
      <c r="D3455" t="s">
        <v>213</v>
      </c>
      <c r="E3455" t="s">
        <v>7491</v>
      </c>
      <c r="F3455" t="str">
        <f>"00347344"</f>
        <v>00347344</v>
      </c>
      <c r="G3455" t="s">
        <v>352</v>
      </c>
      <c r="H3455" t="s">
        <v>20</v>
      </c>
      <c r="I3455">
        <v>1471</v>
      </c>
      <c r="J3455" t="s">
        <v>21</v>
      </c>
      <c r="K3455">
        <v>0</v>
      </c>
      <c r="L3455" t="s">
        <v>88</v>
      </c>
      <c r="M3455">
        <v>775</v>
      </c>
    </row>
    <row r="3456" spans="1:13">
      <c r="A3456">
        <v>3450</v>
      </c>
      <c r="B3456">
        <v>46886</v>
      </c>
      <c r="C3456" t="s">
        <v>7492</v>
      </c>
      <c r="D3456" t="s">
        <v>80</v>
      </c>
      <c r="E3456" t="s">
        <v>7493</v>
      </c>
      <c r="F3456" t="str">
        <f>"00362251"</f>
        <v>00362251</v>
      </c>
      <c r="G3456" t="s">
        <v>107</v>
      </c>
      <c r="H3456" t="s">
        <v>20</v>
      </c>
      <c r="I3456">
        <v>1472</v>
      </c>
      <c r="J3456" t="s">
        <v>21</v>
      </c>
      <c r="K3456">
        <v>0</v>
      </c>
      <c r="L3456" t="s">
        <v>35</v>
      </c>
      <c r="M3456">
        <v>908</v>
      </c>
    </row>
    <row r="3457" spans="1:13">
      <c r="A3457">
        <v>3451</v>
      </c>
      <c r="B3457">
        <v>111049</v>
      </c>
      <c r="C3457" t="s">
        <v>7494</v>
      </c>
      <c r="D3457" t="s">
        <v>563</v>
      </c>
      <c r="E3457" t="s">
        <v>7495</v>
      </c>
      <c r="F3457" t="str">
        <f>"00421866"</f>
        <v>00421866</v>
      </c>
      <c r="G3457" t="s">
        <v>150</v>
      </c>
      <c r="H3457" t="s">
        <v>151</v>
      </c>
      <c r="I3457">
        <v>1699</v>
      </c>
      <c r="J3457" t="s">
        <v>21</v>
      </c>
      <c r="K3457">
        <v>0</v>
      </c>
      <c r="L3457" t="s">
        <v>35</v>
      </c>
      <c r="M3457">
        <v>908</v>
      </c>
    </row>
    <row r="3458" spans="1:13">
      <c r="A3458">
        <v>3452</v>
      </c>
      <c r="B3458">
        <v>53310</v>
      </c>
      <c r="C3458" t="s">
        <v>7496</v>
      </c>
      <c r="D3458" t="s">
        <v>6874</v>
      </c>
      <c r="E3458" t="s">
        <v>7497</v>
      </c>
      <c r="F3458" t="str">
        <f>"00360890"</f>
        <v>00360890</v>
      </c>
      <c r="G3458" t="s">
        <v>488</v>
      </c>
      <c r="H3458" t="s">
        <v>20</v>
      </c>
      <c r="I3458">
        <v>1482</v>
      </c>
      <c r="J3458" t="s">
        <v>21</v>
      </c>
      <c r="K3458">
        <v>0</v>
      </c>
      <c r="M3458">
        <v>1288</v>
      </c>
    </row>
    <row r="3459" spans="1:13">
      <c r="A3459">
        <v>3453</v>
      </c>
      <c r="B3459">
        <v>98227</v>
      </c>
      <c r="C3459" t="s">
        <v>7498</v>
      </c>
      <c r="D3459" t="s">
        <v>139</v>
      </c>
      <c r="E3459" t="s">
        <v>7499</v>
      </c>
      <c r="F3459" t="str">
        <f>"00206371"</f>
        <v>00206371</v>
      </c>
      <c r="G3459" t="s">
        <v>47</v>
      </c>
      <c r="H3459" t="s">
        <v>48</v>
      </c>
      <c r="I3459">
        <v>1623</v>
      </c>
      <c r="J3459" t="s">
        <v>21</v>
      </c>
      <c r="K3459">
        <v>0</v>
      </c>
      <c r="L3459" t="s">
        <v>35</v>
      </c>
      <c r="M3459">
        <v>885</v>
      </c>
    </row>
    <row r="3460" spans="1:13">
      <c r="A3460">
        <v>3454</v>
      </c>
      <c r="B3460">
        <v>95177</v>
      </c>
      <c r="C3460" t="s">
        <v>7500</v>
      </c>
      <c r="D3460" t="s">
        <v>334</v>
      </c>
      <c r="E3460" t="s">
        <v>7501</v>
      </c>
      <c r="F3460" t="str">
        <f>"201507003922"</f>
        <v>201507003922</v>
      </c>
      <c r="G3460" t="s">
        <v>170</v>
      </c>
      <c r="H3460" t="s">
        <v>20</v>
      </c>
      <c r="I3460">
        <v>1412</v>
      </c>
      <c r="J3460" t="s">
        <v>21</v>
      </c>
      <c r="K3460">
        <v>0</v>
      </c>
      <c r="L3460" t="s">
        <v>59</v>
      </c>
      <c r="M3460">
        <v>968</v>
      </c>
    </row>
    <row r="3461" spans="1:13">
      <c r="A3461">
        <v>3455</v>
      </c>
      <c r="B3461">
        <v>59083</v>
      </c>
      <c r="C3461" t="s">
        <v>7502</v>
      </c>
      <c r="D3461" t="s">
        <v>76</v>
      </c>
      <c r="E3461" t="s">
        <v>7503</v>
      </c>
      <c r="F3461" t="str">
        <f>"00367211"</f>
        <v>00367211</v>
      </c>
      <c r="G3461" t="s">
        <v>1155</v>
      </c>
      <c r="H3461" t="s">
        <v>20</v>
      </c>
      <c r="I3461">
        <v>1480</v>
      </c>
      <c r="J3461" t="s">
        <v>21</v>
      </c>
      <c r="K3461">
        <v>0</v>
      </c>
      <c r="L3461" t="s">
        <v>35</v>
      </c>
      <c r="M3461">
        <v>1208</v>
      </c>
    </row>
    <row r="3462" spans="1:13">
      <c r="A3462">
        <v>3456</v>
      </c>
      <c r="B3462">
        <v>86755</v>
      </c>
      <c r="C3462" t="s">
        <v>7504</v>
      </c>
      <c r="D3462" t="s">
        <v>180</v>
      </c>
      <c r="E3462" t="s">
        <v>7505</v>
      </c>
      <c r="F3462" t="str">
        <f>"00405950"</f>
        <v>00405950</v>
      </c>
      <c r="G3462" t="s">
        <v>713</v>
      </c>
      <c r="H3462" t="s">
        <v>366</v>
      </c>
      <c r="I3462">
        <v>1690</v>
      </c>
      <c r="J3462" t="s">
        <v>21</v>
      </c>
      <c r="K3462">
        <v>0</v>
      </c>
      <c r="L3462" t="s">
        <v>35</v>
      </c>
      <c r="M3462">
        <v>1150</v>
      </c>
    </row>
    <row r="3463" spans="1:13">
      <c r="A3463">
        <v>3457</v>
      </c>
      <c r="B3463">
        <v>49495</v>
      </c>
      <c r="C3463" t="s">
        <v>7506</v>
      </c>
      <c r="D3463" t="s">
        <v>145</v>
      </c>
      <c r="E3463" t="s">
        <v>7507</v>
      </c>
      <c r="F3463" t="str">
        <f>"200802000739"</f>
        <v>200802000739</v>
      </c>
      <c r="G3463" t="s">
        <v>150</v>
      </c>
      <c r="H3463" t="s">
        <v>151</v>
      </c>
      <c r="I3463">
        <v>1699</v>
      </c>
      <c r="J3463" t="s">
        <v>21</v>
      </c>
      <c r="K3463">
        <v>0</v>
      </c>
      <c r="L3463" t="s">
        <v>35</v>
      </c>
      <c r="M3463">
        <v>850</v>
      </c>
    </row>
    <row r="3464" spans="1:13">
      <c r="A3464">
        <v>3458</v>
      </c>
      <c r="B3464">
        <v>59279</v>
      </c>
      <c r="C3464" t="s">
        <v>7508</v>
      </c>
      <c r="D3464" t="s">
        <v>94</v>
      </c>
      <c r="E3464" t="s">
        <v>7509</v>
      </c>
      <c r="F3464" t="str">
        <f>"00348029"</f>
        <v>00348029</v>
      </c>
      <c r="G3464" t="s">
        <v>230</v>
      </c>
      <c r="H3464" t="s">
        <v>20</v>
      </c>
      <c r="I3464">
        <v>1545</v>
      </c>
      <c r="J3464" t="s">
        <v>21</v>
      </c>
      <c r="K3464">
        <v>0</v>
      </c>
      <c r="L3464" t="s">
        <v>35</v>
      </c>
      <c r="M3464">
        <v>1008</v>
      </c>
    </row>
    <row r="3465" spans="1:13">
      <c r="A3465">
        <v>3459</v>
      </c>
      <c r="B3465">
        <v>92265</v>
      </c>
      <c r="C3465" t="s">
        <v>7510</v>
      </c>
      <c r="D3465" t="s">
        <v>218</v>
      </c>
      <c r="E3465" t="s">
        <v>7511</v>
      </c>
      <c r="F3465" t="str">
        <f>"201511012470"</f>
        <v>201511012470</v>
      </c>
      <c r="G3465" t="s">
        <v>1695</v>
      </c>
      <c r="H3465" t="s">
        <v>20</v>
      </c>
      <c r="I3465">
        <v>1533</v>
      </c>
      <c r="J3465" t="s">
        <v>21</v>
      </c>
      <c r="K3465">
        <v>0</v>
      </c>
      <c r="M3465">
        <v>1428</v>
      </c>
    </row>
    <row r="3466" spans="1:13">
      <c r="A3466">
        <v>3460</v>
      </c>
      <c r="B3466">
        <v>114138</v>
      </c>
      <c r="C3466" t="s">
        <v>7512</v>
      </c>
      <c r="D3466" t="s">
        <v>316</v>
      </c>
      <c r="E3466" t="s">
        <v>7513</v>
      </c>
      <c r="F3466" t="str">
        <f>"00422502"</f>
        <v>00422502</v>
      </c>
      <c r="G3466" t="s">
        <v>38</v>
      </c>
      <c r="H3466" t="s">
        <v>39</v>
      </c>
      <c r="I3466">
        <v>1634</v>
      </c>
      <c r="J3466" t="s">
        <v>21</v>
      </c>
      <c r="K3466">
        <v>6</v>
      </c>
      <c r="M3466">
        <v>1143</v>
      </c>
    </row>
    <row r="3467" spans="1:13">
      <c r="A3467">
        <v>3461</v>
      </c>
      <c r="B3467">
        <v>87386</v>
      </c>
      <c r="C3467" t="s">
        <v>7514</v>
      </c>
      <c r="D3467" t="s">
        <v>105</v>
      </c>
      <c r="E3467" t="s">
        <v>7515</v>
      </c>
      <c r="F3467" t="str">
        <f>"00408754"</f>
        <v>00408754</v>
      </c>
      <c r="G3467" t="s">
        <v>1869</v>
      </c>
      <c r="H3467" t="s">
        <v>20</v>
      </c>
      <c r="I3467">
        <v>1473</v>
      </c>
      <c r="J3467" t="s">
        <v>21</v>
      </c>
      <c r="K3467">
        <v>0</v>
      </c>
      <c r="L3467" t="s">
        <v>35</v>
      </c>
      <c r="M3467">
        <v>947</v>
      </c>
    </row>
    <row r="3468" spans="1:13">
      <c r="A3468">
        <v>3462</v>
      </c>
      <c r="B3468">
        <v>79916</v>
      </c>
      <c r="C3468" t="s">
        <v>7516</v>
      </c>
      <c r="D3468" t="s">
        <v>80</v>
      </c>
      <c r="E3468" t="s">
        <v>7517</v>
      </c>
      <c r="F3468" t="str">
        <f>"00376364"</f>
        <v>00376364</v>
      </c>
      <c r="G3468" t="s">
        <v>1155</v>
      </c>
      <c r="H3468" t="s">
        <v>20</v>
      </c>
      <c r="I3468">
        <v>1480</v>
      </c>
      <c r="J3468" t="s">
        <v>21</v>
      </c>
      <c r="K3468">
        <v>0</v>
      </c>
      <c r="M3468">
        <v>1568</v>
      </c>
    </row>
    <row r="3469" spans="1:13">
      <c r="A3469">
        <v>3463</v>
      </c>
      <c r="B3469">
        <v>105455</v>
      </c>
      <c r="C3469" t="s">
        <v>7518</v>
      </c>
      <c r="D3469" t="s">
        <v>80</v>
      </c>
      <c r="E3469" t="s">
        <v>7519</v>
      </c>
      <c r="F3469" t="str">
        <f>"00037349"</f>
        <v>00037349</v>
      </c>
      <c r="G3469" t="s">
        <v>352</v>
      </c>
      <c r="H3469" t="s">
        <v>20</v>
      </c>
      <c r="I3469">
        <v>1471</v>
      </c>
      <c r="J3469" t="s">
        <v>21</v>
      </c>
      <c r="K3469">
        <v>0</v>
      </c>
      <c r="L3469" t="s">
        <v>88</v>
      </c>
      <c r="M3469">
        <v>685</v>
      </c>
    </row>
    <row r="3470" spans="1:13">
      <c r="A3470">
        <v>3464</v>
      </c>
      <c r="B3470">
        <v>110493</v>
      </c>
      <c r="C3470" t="s">
        <v>7520</v>
      </c>
      <c r="D3470" t="s">
        <v>121</v>
      </c>
      <c r="E3470" t="s">
        <v>7521</v>
      </c>
      <c r="F3470" t="str">
        <f>"00406977"</f>
        <v>00406977</v>
      </c>
      <c r="G3470" t="s">
        <v>733</v>
      </c>
      <c r="H3470" t="s">
        <v>734</v>
      </c>
      <c r="I3470">
        <v>1596</v>
      </c>
      <c r="J3470" t="s">
        <v>21</v>
      </c>
      <c r="K3470">
        <v>0</v>
      </c>
      <c r="M3470">
        <v>1488</v>
      </c>
    </row>
    <row r="3471" spans="1:13">
      <c r="A3471">
        <v>3465</v>
      </c>
      <c r="B3471">
        <v>55658</v>
      </c>
      <c r="C3471" t="s">
        <v>7522</v>
      </c>
      <c r="D3471" t="s">
        <v>726</v>
      </c>
      <c r="E3471" t="s">
        <v>7523</v>
      </c>
      <c r="F3471" t="str">
        <f>"00247708"</f>
        <v>00247708</v>
      </c>
      <c r="G3471" t="s">
        <v>19</v>
      </c>
      <c r="H3471" t="s">
        <v>20</v>
      </c>
      <c r="I3471">
        <v>1531</v>
      </c>
      <c r="J3471" t="s">
        <v>21</v>
      </c>
      <c r="K3471">
        <v>0</v>
      </c>
      <c r="L3471" t="s">
        <v>59</v>
      </c>
      <c r="M3471">
        <v>1138</v>
      </c>
    </row>
    <row r="3472" spans="1:13">
      <c r="A3472">
        <v>3466</v>
      </c>
      <c r="B3472">
        <v>56138</v>
      </c>
      <c r="C3472" t="s">
        <v>7524</v>
      </c>
      <c r="D3472" t="s">
        <v>557</v>
      </c>
      <c r="E3472" t="s">
        <v>7525</v>
      </c>
      <c r="F3472" t="str">
        <f>"00195086"</f>
        <v>00195086</v>
      </c>
      <c r="G3472" t="s">
        <v>107</v>
      </c>
      <c r="H3472" t="s">
        <v>20</v>
      </c>
      <c r="I3472">
        <v>1472</v>
      </c>
      <c r="J3472" t="s">
        <v>21</v>
      </c>
      <c r="K3472">
        <v>0</v>
      </c>
      <c r="L3472" t="s">
        <v>59</v>
      </c>
      <c r="M3472">
        <v>988</v>
      </c>
    </row>
    <row r="3473" spans="1:13">
      <c r="A3473">
        <v>3467</v>
      </c>
      <c r="B3473">
        <v>46501</v>
      </c>
      <c r="C3473" t="s">
        <v>7526</v>
      </c>
      <c r="D3473" t="s">
        <v>7527</v>
      </c>
      <c r="E3473" t="s">
        <v>7528</v>
      </c>
      <c r="F3473" t="str">
        <f>"00346495"</f>
        <v>00346495</v>
      </c>
      <c r="G3473" t="s">
        <v>371</v>
      </c>
      <c r="H3473" t="s">
        <v>5917</v>
      </c>
      <c r="I3473">
        <v>1317</v>
      </c>
      <c r="J3473" t="s">
        <v>21</v>
      </c>
      <c r="K3473">
        <v>6</v>
      </c>
      <c r="M3473">
        <v>1203</v>
      </c>
    </row>
    <row r="3474" spans="1:13">
      <c r="A3474">
        <v>3468</v>
      </c>
      <c r="B3474">
        <v>102753</v>
      </c>
      <c r="C3474" t="s">
        <v>7529</v>
      </c>
      <c r="D3474" t="s">
        <v>213</v>
      </c>
      <c r="E3474" t="s">
        <v>7530</v>
      </c>
      <c r="F3474" t="str">
        <f>"00343368"</f>
        <v>00343368</v>
      </c>
      <c r="G3474" t="s">
        <v>371</v>
      </c>
      <c r="H3474" t="s">
        <v>20</v>
      </c>
      <c r="I3474">
        <v>1526</v>
      </c>
      <c r="J3474" t="s">
        <v>21</v>
      </c>
      <c r="K3474">
        <v>6</v>
      </c>
      <c r="L3474" t="s">
        <v>35</v>
      </c>
      <c r="M3474">
        <v>408</v>
      </c>
    </row>
    <row r="3475" spans="1:13">
      <c r="A3475">
        <v>3469</v>
      </c>
      <c r="B3475">
        <v>104994</v>
      </c>
      <c r="C3475" t="s">
        <v>7531</v>
      </c>
      <c r="D3475" t="s">
        <v>76</v>
      </c>
      <c r="E3475" t="s">
        <v>7532</v>
      </c>
      <c r="F3475" t="str">
        <f>"00094223"</f>
        <v>00094223</v>
      </c>
      <c r="G3475" t="s">
        <v>352</v>
      </c>
      <c r="H3475" t="s">
        <v>20</v>
      </c>
      <c r="I3475">
        <v>1471</v>
      </c>
      <c r="J3475" t="s">
        <v>21</v>
      </c>
      <c r="K3475">
        <v>0</v>
      </c>
      <c r="M3475">
        <v>1388</v>
      </c>
    </row>
    <row r="3476" spans="1:13">
      <c r="A3476">
        <v>3470</v>
      </c>
      <c r="B3476">
        <v>98463</v>
      </c>
      <c r="C3476" t="s">
        <v>7533</v>
      </c>
      <c r="D3476" t="s">
        <v>139</v>
      </c>
      <c r="E3476" t="s">
        <v>7534</v>
      </c>
      <c r="F3476" t="str">
        <f>"00391499"</f>
        <v>00391499</v>
      </c>
      <c r="G3476" t="s">
        <v>107</v>
      </c>
      <c r="H3476" t="s">
        <v>20</v>
      </c>
      <c r="I3476">
        <v>1472</v>
      </c>
      <c r="J3476" t="s">
        <v>21</v>
      </c>
      <c r="K3476">
        <v>0</v>
      </c>
      <c r="L3476" t="s">
        <v>35</v>
      </c>
      <c r="M3476">
        <v>1021</v>
      </c>
    </row>
    <row r="3477" spans="1:13">
      <c r="A3477">
        <v>3471</v>
      </c>
      <c r="B3477">
        <v>54305</v>
      </c>
      <c r="C3477" t="s">
        <v>7535</v>
      </c>
      <c r="D3477" t="s">
        <v>180</v>
      </c>
      <c r="E3477" t="s">
        <v>7536</v>
      </c>
      <c r="F3477" t="str">
        <f>"00132613"</f>
        <v>00132613</v>
      </c>
      <c r="G3477" t="s">
        <v>610</v>
      </c>
      <c r="H3477" t="s">
        <v>20</v>
      </c>
      <c r="I3477">
        <v>1429</v>
      </c>
      <c r="J3477" t="s">
        <v>21</v>
      </c>
      <c r="K3477">
        <v>0</v>
      </c>
      <c r="L3477" t="s">
        <v>88</v>
      </c>
      <c r="M3477">
        <v>675</v>
      </c>
    </row>
    <row r="3478" spans="1:13">
      <c r="A3478">
        <v>3472</v>
      </c>
      <c r="B3478">
        <v>113810</v>
      </c>
      <c r="C3478" t="s">
        <v>7537</v>
      </c>
      <c r="D3478" t="s">
        <v>145</v>
      </c>
      <c r="E3478" t="s">
        <v>7538</v>
      </c>
      <c r="F3478" t="str">
        <f>"00404924"</f>
        <v>00404924</v>
      </c>
      <c r="G3478" t="s">
        <v>111</v>
      </c>
      <c r="H3478" t="s">
        <v>48</v>
      </c>
      <c r="I3478">
        <v>1620</v>
      </c>
      <c r="J3478" t="s">
        <v>21</v>
      </c>
      <c r="K3478">
        <v>0</v>
      </c>
      <c r="M3478">
        <v>1338</v>
      </c>
    </row>
    <row r="3479" spans="1:13">
      <c r="A3479">
        <v>3473</v>
      </c>
      <c r="B3479">
        <v>105865</v>
      </c>
      <c r="C3479" t="s">
        <v>7539</v>
      </c>
      <c r="D3479" t="s">
        <v>1001</v>
      </c>
      <c r="E3479" t="s">
        <v>7540</v>
      </c>
      <c r="F3479" t="str">
        <f>"00378639"</f>
        <v>00378639</v>
      </c>
      <c r="G3479" t="s">
        <v>531</v>
      </c>
      <c r="H3479" t="s">
        <v>20</v>
      </c>
      <c r="I3479">
        <v>1445</v>
      </c>
      <c r="J3479" t="s">
        <v>21</v>
      </c>
      <c r="K3479">
        <v>0</v>
      </c>
      <c r="L3479" t="s">
        <v>35</v>
      </c>
      <c r="M3479">
        <v>1291</v>
      </c>
    </row>
    <row r="3480" spans="1:13">
      <c r="A3480">
        <v>3474</v>
      </c>
      <c r="B3480">
        <v>53353</v>
      </c>
      <c r="C3480" t="s">
        <v>7541</v>
      </c>
      <c r="D3480" t="s">
        <v>243</v>
      </c>
      <c r="E3480" t="s">
        <v>7542</v>
      </c>
      <c r="F3480" t="str">
        <f>"00255022"</f>
        <v>00255022</v>
      </c>
      <c r="G3480" t="s">
        <v>70</v>
      </c>
      <c r="H3480" t="s">
        <v>71</v>
      </c>
      <c r="I3480">
        <v>1702</v>
      </c>
      <c r="J3480" t="s">
        <v>21</v>
      </c>
      <c r="K3480">
        <v>0</v>
      </c>
      <c r="L3480" t="s">
        <v>83</v>
      </c>
      <c r="M3480">
        <v>1188</v>
      </c>
    </row>
    <row r="3481" spans="1:13">
      <c r="A3481">
        <v>3475</v>
      </c>
      <c r="B3481">
        <v>93910</v>
      </c>
      <c r="C3481" t="s">
        <v>7543</v>
      </c>
      <c r="D3481" t="s">
        <v>76</v>
      </c>
      <c r="E3481" t="s">
        <v>7544</v>
      </c>
      <c r="F3481" t="str">
        <f>"00261090"</f>
        <v>00261090</v>
      </c>
      <c r="G3481" t="s">
        <v>269</v>
      </c>
      <c r="H3481" t="s">
        <v>270</v>
      </c>
      <c r="I3481">
        <v>1587</v>
      </c>
      <c r="J3481" t="s">
        <v>21</v>
      </c>
      <c r="K3481">
        <v>0</v>
      </c>
      <c r="M3481">
        <v>1588</v>
      </c>
    </row>
    <row r="3482" spans="1:13">
      <c r="A3482">
        <v>3476</v>
      </c>
      <c r="B3482">
        <v>61505</v>
      </c>
      <c r="C3482" t="s">
        <v>7545</v>
      </c>
      <c r="D3482" t="s">
        <v>218</v>
      </c>
      <c r="E3482" t="s">
        <v>7546</v>
      </c>
      <c r="F3482" t="str">
        <f>"201402012546"</f>
        <v>201402012546</v>
      </c>
      <c r="G3482" t="s">
        <v>111</v>
      </c>
      <c r="H3482" t="s">
        <v>48</v>
      </c>
      <c r="I3482">
        <v>1620</v>
      </c>
      <c r="J3482" t="s">
        <v>21</v>
      </c>
      <c r="K3482">
        <v>0</v>
      </c>
      <c r="M3482">
        <v>1328</v>
      </c>
    </row>
    <row r="3483" spans="1:13">
      <c r="A3483">
        <v>3477</v>
      </c>
      <c r="B3483">
        <v>99107</v>
      </c>
      <c r="C3483" t="s">
        <v>7547</v>
      </c>
      <c r="D3483" t="s">
        <v>76</v>
      </c>
      <c r="E3483" t="s">
        <v>7548</v>
      </c>
      <c r="F3483" t="str">
        <f>"00377673"</f>
        <v>00377673</v>
      </c>
      <c r="G3483" t="s">
        <v>184</v>
      </c>
      <c r="H3483" t="s">
        <v>2407</v>
      </c>
      <c r="I3483">
        <v>1617</v>
      </c>
      <c r="J3483" t="s">
        <v>21</v>
      </c>
      <c r="K3483">
        <v>0</v>
      </c>
      <c r="M3483">
        <v>1688</v>
      </c>
    </row>
    <row r="3484" spans="1:13">
      <c r="A3484">
        <v>3478</v>
      </c>
      <c r="B3484">
        <v>99703</v>
      </c>
      <c r="C3484" t="s">
        <v>7549</v>
      </c>
      <c r="D3484" t="s">
        <v>145</v>
      </c>
      <c r="E3484" t="s">
        <v>7550</v>
      </c>
      <c r="F3484" t="str">
        <f>"201410002018"</f>
        <v>201410002018</v>
      </c>
      <c r="G3484" t="s">
        <v>184</v>
      </c>
      <c r="H3484" t="s">
        <v>185</v>
      </c>
      <c r="I3484">
        <v>1595</v>
      </c>
      <c r="J3484" t="s">
        <v>21</v>
      </c>
      <c r="K3484">
        <v>0</v>
      </c>
      <c r="M3484">
        <v>1310</v>
      </c>
    </row>
    <row r="3485" spans="1:13">
      <c r="A3485">
        <v>3479</v>
      </c>
      <c r="B3485">
        <v>109768</v>
      </c>
      <c r="C3485" t="s">
        <v>7551</v>
      </c>
      <c r="D3485" t="s">
        <v>5972</v>
      </c>
      <c r="E3485" t="s">
        <v>7552</v>
      </c>
      <c r="F3485" t="str">
        <f>"00416325"</f>
        <v>00416325</v>
      </c>
      <c r="G3485" t="s">
        <v>150</v>
      </c>
      <c r="H3485" t="s">
        <v>151</v>
      </c>
      <c r="I3485">
        <v>1699</v>
      </c>
      <c r="J3485" t="s">
        <v>21</v>
      </c>
      <c r="K3485">
        <v>0</v>
      </c>
      <c r="L3485" t="s">
        <v>35</v>
      </c>
      <c r="M3485">
        <v>874</v>
      </c>
    </row>
    <row r="3486" spans="1:13">
      <c r="A3486">
        <v>3480</v>
      </c>
      <c r="B3486">
        <v>54835</v>
      </c>
      <c r="C3486" t="s">
        <v>7553</v>
      </c>
      <c r="D3486" t="s">
        <v>218</v>
      </c>
      <c r="E3486" t="s">
        <v>7554</v>
      </c>
      <c r="F3486" t="str">
        <f>"201511023252"</f>
        <v>201511023252</v>
      </c>
      <c r="G3486" t="s">
        <v>352</v>
      </c>
      <c r="H3486" t="s">
        <v>20</v>
      </c>
      <c r="I3486">
        <v>1471</v>
      </c>
      <c r="J3486" t="s">
        <v>21</v>
      </c>
      <c r="K3486">
        <v>0</v>
      </c>
      <c r="M3486">
        <v>1538</v>
      </c>
    </row>
    <row r="3487" spans="1:13">
      <c r="A3487">
        <v>3481</v>
      </c>
      <c r="B3487">
        <v>82821</v>
      </c>
      <c r="C3487" t="s">
        <v>7555</v>
      </c>
      <c r="D3487" t="s">
        <v>105</v>
      </c>
      <c r="E3487" t="s">
        <v>7556</v>
      </c>
      <c r="F3487" t="str">
        <f>"00393153"</f>
        <v>00393153</v>
      </c>
      <c r="G3487" t="s">
        <v>207</v>
      </c>
      <c r="H3487" t="s">
        <v>20</v>
      </c>
      <c r="I3487">
        <v>1560</v>
      </c>
      <c r="J3487" t="s">
        <v>21</v>
      </c>
      <c r="K3487">
        <v>6</v>
      </c>
      <c r="L3487" t="s">
        <v>35</v>
      </c>
      <c r="M3487">
        <v>1185</v>
      </c>
    </row>
    <row r="3488" spans="1:13">
      <c r="A3488">
        <v>3482</v>
      </c>
      <c r="B3488">
        <v>114595</v>
      </c>
      <c r="C3488" t="s">
        <v>7557</v>
      </c>
      <c r="D3488" t="s">
        <v>205</v>
      </c>
      <c r="E3488" t="s">
        <v>7558</v>
      </c>
      <c r="F3488" t="str">
        <f>"00294918"</f>
        <v>00294918</v>
      </c>
      <c r="G3488" t="s">
        <v>47</v>
      </c>
      <c r="H3488" t="s">
        <v>48</v>
      </c>
      <c r="I3488">
        <v>1623</v>
      </c>
      <c r="J3488" t="s">
        <v>21</v>
      </c>
      <c r="K3488">
        <v>0</v>
      </c>
      <c r="L3488" t="s">
        <v>35</v>
      </c>
      <c r="M3488">
        <v>925</v>
      </c>
    </row>
    <row r="3489" spans="1:13">
      <c r="A3489">
        <v>3483</v>
      </c>
      <c r="B3489">
        <v>70464</v>
      </c>
      <c r="C3489" t="s">
        <v>7559</v>
      </c>
      <c r="D3489" t="s">
        <v>76</v>
      </c>
      <c r="E3489" t="s">
        <v>7560</v>
      </c>
      <c r="F3489" t="str">
        <f>"200802004764"</f>
        <v>200802004764</v>
      </c>
      <c r="G3489" t="s">
        <v>2710</v>
      </c>
      <c r="H3489" t="s">
        <v>366</v>
      </c>
      <c r="I3489">
        <v>1691</v>
      </c>
      <c r="J3489" t="s">
        <v>21</v>
      </c>
      <c r="K3489">
        <v>0</v>
      </c>
      <c r="L3489" t="s">
        <v>83</v>
      </c>
      <c r="M3489">
        <v>1290</v>
      </c>
    </row>
    <row r="3490" spans="1:13">
      <c r="A3490">
        <v>3484</v>
      </c>
      <c r="B3490">
        <v>74381</v>
      </c>
      <c r="C3490" t="s">
        <v>7561</v>
      </c>
      <c r="D3490" t="s">
        <v>243</v>
      </c>
      <c r="E3490" t="s">
        <v>7562</v>
      </c>
      <c r="F3490" t="str">
        <f>"00315389"</f>
        <v>00315389</v>
      </c>
      <c r="G3490" t="s">
        <v>371</v>
      </c>
      <c r="H3490" t="s">
        <v>20</v>
      </c>
      <c r="I3490">
        <v>1526</v>
      </c>
      <c r="J3490" t="s">
        <v>21</v>
      </c>
      <c r="K3490">
        <v>0</v>
      </c>
      <c r="L3490" t="s">
        <v>59</v>
      </c>
      <c r="M3490">
        <v>798</v>
      </c>
    </row>
    <row r="3491" spans="1:13">
      <c r="A3491">
        <v>3485</v>
      </c>
      <c r="B3491">
        <v>85025</v>
      </c>
      <c r="C3491" t="s">
        <v>7563</v>
      </c>
      <c r="D3491" t="s">
        <v>205</v>
      </c>
      <c r="E3491" t="s">
        <v>7564</v>
      </c>
      <c r="F3491" t="str">
        <f>"00395401"</f>
        <v>00395401</v>
      </c>
      <c r="G3491" t="s">
        <v>4039</v>
      </c>
      <c r="H3491" t="s">
        <v>137</v>
      </c>
      <c r="I3491">
        <v>1611</v>
      </c>
      <c r="J3491" t="s">
        <v>21</v>
      </c>
      <c r="K3491">
        <v>7</v>
      </c>
      <c r="L3491" t="s">
        <v>35</v>
      </c>
      <c r="M3491">
        <v>741</v>
      </c>
    </row>
    <row r="3492" spans="1:13">
      <c r="A3492">
        <v>3486</v>
      </c>
      <c r="B3492">
        <v>65520</v>
      </c>
      <c r="C3492" t="s">
        <v>7565</v>
      </c>
      <c r="D3492" t="s">
        <v>914</v>
      </c>
      <c r="E3492" t="s">
        <v>7566</v>
      </c>
      <c r="F3492" t="str">
        <f>"00354179"</f>
        <v>00354179</v>
      </c>
      <c r="G3492" t="s">
        <v>42</v>
      </c>
      <c r="H3492" t="s">
        <v>43</v>
      </c>
      <c r="I3492">
        <v>1712</v>
      </c>
      <c r="J3492" t="s">
        <v>21</v>
      </c>
      <c r="K3492">
        <v>0</v>
      </c>
      <c r="M3492">
        <v>1638</v>
      </c>
    </row>
    <row r="3493" spans="1:13">
      <c r="A3493">
        <v>3487</v>
      </c>
      <c r="B3493">
        <v>56664</v>
      </c>
      <c r="C3493" t="s">
        <v>7567</v>
      </c>
      <c r="D3493" t="s">
        <v>243</v>
      </c>
      <c r="E3493" t="s">
        <v>7568</v>
      </c>
      <c r="F3493" t="str">
        <f>"00249754"</f>
        <v>00249754</v>
      </c>
      <c r="G3493" t="s">
        <v>405</v>
      </c>
      <c r="H3493" t="s">
        <v>20</v>
      </c>
      <c r="I3493">
        <v>1448</v>
      </c>
      <c r="J3493" t="s">
        <v>21</v>
      </c>
      <c r="K3493">
        <v>6</v>
      </c>
      <c r="M3493">
        <v>1418</v>
      </c>
    </row>
    <row r="3494" spans="1:13">
      <c r="A3494">
        <v>3488</v>
      </c>
      <c r="B3494">
        <v>86347</v>
      </c>
      <c r="C3494" t="s">
        <v>7569</v>
      </c>
      <c r="D3494" t="s">
        <v>145</v>
      </c>
      <c r="E3494" t="s">
        <v>7570</v>
      </c>
      <c r="F3494" t="str">
        <f>"00400422"</f>
        <v>00400422</v>
      </c>
      <c r="G3494" t="s">
        <v>24</v>
      </c>
      <c r="H3494" t="s">
        <v>20</v>
      </c>
      <c r="I3494">
        <v>1577</v>
      </c>
      <c r="J3494" t="s">
        <v>21</v>
      </c>
      <c r="K3494">
        <v>0</v>
      </c>
      <c r="L3494" t="s">
        <v>35</v>
      </c>
      <c r="M3494">
        <v>858</v>
      </c>
    </row>
    <row r="3495" spans="1:13">
      <c r="A3495">
        <v>3489</v>
      </c>
      <c r="B3495">
        <v>49623</v>
      </c>
      <c r="C3495" t="s">
        <v>7571</v>
      </c>
      <c r="D3495" t="s">
        <v>163</v>
      </c>
      <c r="E3495" t="s">
        <v>7572</v>
      </c>
      <c r="F3495" t="str">
        <f>"00357692"</f>
        <v>00357692</v>
      </c>
      <c r="G3495" t="s">
        <v>418</v>
      </c>
      <c r="H3495" t="s">
        <v>234</v>
      </c>
      <c r="I3495">
        <v>1335</v>
      </c>
      <c r="J3495" t="s">
        <v>21</v>
      </c>
      <c r="K3495">
        <v>6</v>
      </c>
      <c r="L3495" t="s">
        <v>35</v>
      </c>
      <c r="M3495">
        <v>1058</v>
      </c>
    </row>
    <row r="3496" spans="1:13">
      <c r="A3496">
        <v>3490</v>
      </c>
      <c r="B3496">
        <v>77460</v>
      </c>
      <c r="C3496" t="s">
        <v>7573</v>
      </c>
      <c r="D3496" t="s">
        <v>121</v>
      </c>
      <c r="E3496" t="s">
        <v>7574</v>
      </c>
      <c r="F3496" t="str">
        <f>"00381826"</f>
        <v>00381826</v>
      </c>
      <c r="G3496" t="s">
        <v>125</v>
      </c>
      <c r="H3496" t="s">
        <v>20</v>
      </c>
      <c r="I3496">
        <v>1507</v>
      </c>
      <c r="J3496" t="s">
        <v>21</v>
      </c>
      <c r="K3496">
        <v>0</v>
      </c>
      <c r="L3496" t="s">
        <v>35</v>
      </c>
      <c r="M3496">
        <v>1008</v>
      </c>
    </row>
    <row r="3497" spans="1:13">
      <c r="A3497">
        <v>3491</v>
      </c>
      <c r="B3497">
        <v>113338</v>
      </c>
      <c r="C3497" t="s">
        <v>7575</v>
      </c>
      <c r="D3497" t="s">
        <v>205</v>
      </c>
      <c r="E3497" t="s">
        <v>7576</v>
      </c>
      <c r="F3497" t="str">
        <f>"00318209"</f>
        <v>00318209</v>
      </c>
      <c r="G3497" t="s">
        <v>325</v>
      </c>
      <c r="H3497" t="s">
        <v>326</v>
      </c>
      <c r="I3497">
        <v>1592</v>
      </c>
      <c r="J3497" t="s">
        <v>21</v>
      </c>
      <c r="K3497">
        <v>0</v>
      </c>
      <c r="M3497">
        <v>1638</v>
      </c>
    </row>
    <row r="3498" spans="1:13">
      <c r="A3498">
        <v>3492</v>
      </c>
      <c r="B3498">
        <v>62173</v>
      </c>
      <c r="C3498" t="s">
        <v>7577</v>
      </c>
      <c r="D3498" t="s">
        <v>76</v>
      </c>
      <c r="E3498" t="s">
        <v>7578</v>
      </c>
      <c r="F3498" t="str">
        <f>"00357813"</f>
        <v>00357813</v>
      </c>
      <c r="G3498" t="s">
        <v>718</v>
      </c>
      <c r="H3498" t="s">
        <v>48</v>
      </c>
      <c r="I3498">
        <v>1625</v>
      </c>
      <c r="J3498" t="s">
        <v>21</v>
      </c>
      <c r="K3498">
        <v>0</v>
      </c>
      <c r="L3498" t="s">
        <v>59</v>
      </c>
      <c r="M3498">
        <v>1050</v>
      </c>
    </row>
    <row r="3499" spans="1:13">
      <c r="A3499">
        <v>3493</v>
      </c>
      <c r="B3499">
        <v>81604</v>
      </c>
      <c r="C3499" t="s">
        <v>7579</v>
      </c>
      <c r="D3499" t="s">
        <v>105</v>
      </c>
      <c r="E3499" t="s">
        <v>7580</v>
      </c>
      <c r="F3499" t="str">
        <f>"00385856"</f>
        <v>00385856</v>
      </c>
      <c r="G3499" t="s">
        <v>47</v>
      </c>
      <c r="H3499" t="s">
        <v>48</v>
      </c>
      <c r="I3499">
        <v>1623</v>
      </c>
      <c r="J3499" t="s">
        <v>21</v>
      </c>
      <c r="K3499">
        <v>0</v>
      </c>
      <c r="L3499" t="s">
        <v>35</v>
      </c>
      <c r="M3499">
        <v>1100</v>
      </c>
    </row>
    <row r="3500" spans="1:13">
      <c r="A3500">
        <v>3494</v>
      </c>
      <c r="B3500">
        <v>80397</v>
      </c>
      <c r="C3500" t="s">
        <v>7581</v>
      </c>
      <c r="D3500" t="s">
        <v>243</v>
      </c>
      <c r="E3500" t="s">
        <v>7582</v>
      </c>
      <c r="F3500" t="str">
        <f>"00374144"</f>
        <v>00374144</v>
      </c>
      <c r="G3500" t="s">
        <v>1321</v>
      </c>
      <c r="H3500" t="s">
        <v>234</v>
      </c>
      <c r="I3500">
        <v>1330</v>
      </c>
      <c r="J3500" t="s">
        <v>21</v>
      </c>
      <c r="K3500">
        <v>0</v>
      </c>
      <c r="L3500" t="s">
        <v>112</v>
      </c>
      <c r="M3500">
        <v>950</v>
      </c>
    </row>
    <row r="3501" spans="1:13">
      <c r="A3501">
        <v>3495</v>
      </c>
      <c r="B3501">
        <v>70480</v>
      </c>
      <c r="C3501" t="s">
        <v>7583</v>
      </c>
      <c r="D3501" t="s">
        <v>180</v>
      </c>
      <c r="E3501" t="s">
        <v>7584</v>
      </c>
      <c r="F3501" t="str">
        <f>"00304652"</f>
        <v>00304652</v>
      </c>
      <c r="G3501" t="s">
        <v>92</v>
      </c>
      <c r="H3501" t="s">
        <v>780</v>
      </c>
      <c r="I3501">
        <v>1402</v>
      </c>
      <c r="J3501" t="s">
        <v>21</v>
      </c>
      <c r="K3501">
        <v>0</v>
      </c>
      <c r="L3501" t="s">
        <v>35</v>
      </c>
      <c r="M3501">
        <v>1183</v>
      </c>
    </row>
    <row r="3502" spans="1:13">
      <c r="A3502">
        <v>3496</v>
      </c>
      <c r="B3502">
        <v>47824</v>
      </c>
      <c r="C3502" t="s">
        <v>7585</v>
      </c>
      <c r="D3502" t="s">
        <v>130</v>
      </c>
      <c r="E3502" t="s">
        <v>7586</v>
      </c>
      <c r="F3502" t="str">
        <f>"200807000928"</f>
        <v>200807000928</v>
      </c>
      <c r="G3502" t="s">
        <v>299</v>
      </c>
      <c r="H3502" t="s">
        <v>20</v>
      </c>
      <c r="I3502">
        <v>1490</v>
      </c>
      <c r="J3502" t="s">
        <v>21</v>
      </c>
      <c r="K3502">
        <v>0</v>
      </c>
      <c r="L3502" t="s">
        <v>88</v>
      </c>
      <c r="M3502">
        <v>500</v>
      </c>
    </row>
    <row r="3503" spans="1:13">
      <c r="A3503">
        <v>3497</v>
      </c>
      <c r="B3503">
        <v>62244</v>
      </c>
      <c r="C3503" t="s">
        <v>7587</v>
      </c>
      <c r="D3503" t="s">
        <v>109</v>
      </c>
      <c r="E3503" t="s">
        <v>7588</v>
      </c>
      <c r="F3503" t="str">
        <f>"00245371"</f>
        <v>00245371</v>
      </c>
      <c r="G3503" t="s">
        <v>150</v>
      </c>
      <c r="H3503" t="s">
        <v>151</v>
      </c>
      <c r="I3503">
        <v>1699</v>
      </c>
      <c r="J3503" t="s">
        <v>21</v>
      </c>
      <c r="K3503">
        <v>0</v>
      </c>
      <c r="L3503" t="s">
        <v>59</v>
      </c>
      <c r="M3503">
        <v>878</v>
      </c>
    </row>
    <row r="3504" spans="1:13">
      <c r="A3504">
        <v>3498</v>
      </c>
      <c r="B3504">
        <v>69050</v>
      </c>
      <c r="C3504" t="s">
        <v>7589</v>
      </c>
      <c r="D3504" t="s">
        <v>76</v>
      </c>
      <c r="E3504" t="s">
        <v>7590</v>
      </c>
      <c r="F3504" t="str">
        <f>"00090395"</f>
        <v>00090395</v>
      </c>
      <c r="G3504" t="s">
        <v>92</v>
      </c>
      <c r="H3504" t="s">
        <v>20</v>
      </c>
      <c r="I3504">
        <v>1425</v>
      </c>
      <c r="J3504" t="s">
        <v>21</v>
      </c>
      <c r="K3504">
        <v>0</v>
      </c>
      <c r="M3504">
        <v>1678</v>
      </c>
    </row>
    <row r="3505" spans="1:13">
      <c r="A3505">
        <v>3499</v>
      </c>
      <c r="B3505">
        <v>52789</v>
      </c>
      <c r="C3505" t="s">
        <v>7591</v>
      </c>
      <c r="D3505" t="s">
        <v>121</v>
      </c>
      <c r="E3505" t="s">
        <v>7592</v>
      </c>
      <c r="F3505" t="str">
        <f>"00350244"</f>
        <v>00350244</v>
      </c>
      <c r="G3505" t="s">
        <v>47</v>
      </c>
      <c r="H3505" t="s">
        <v>48</v>
      </c>
      <c r="I3505">
        <v>1623</v>
      </c>
      <c r="J3505" t="s">
        <v>21</v>
      </c>
      <c r="K3505">
        <v>0</v>
      </c>
      <c r="M3505">
        <v>1558</v>
      </c>
    </row>
    <row r="3506" spans="1:13">
      <c r="A3506">
        <v>3500</v>
      </c>
      <c r="B3506">
        <v>110875</v>
      </c>
      <c r="C3506" t="s">
        <v>7593</v>
      </c>
      <c r="D3506" t="s">
        <v>218</v>
      </c>
      <c r="E3506" t="s">
        <v>7594</v>
      </c>
      <c r="F3506" t="str">
        <f>"00419448"</f>
        <v>00419448</v>
      </c>
      <c r="G3506" t="s">
        <v>540</v>
      </c>
      <c r="H3506" t="s">
        <v>20</v>
      </c>
      <c r="I3506">
        <v>1435</v>
      </c>
      <c r="J3506" t="s">
        <v>21</v>
      </c>
      <c r="K3506">
        <v>0</v>
      </c>
      <c r="L3506" t="s">
        <v>112</v>
      </c>
      <c r="M3506">
        <v>808</v>
      </c>
    </row>
    <row r="3507" spans="1:13">
      <c r="A3507">
        <v>3501</v>
      </c>
      <c r="B3507">
        <v>59502</v>
      </c>
      <c r="C3507" t="s">
        <v>7595</v>
      </c>
      <c r="D3507" t="s">
        <v>1001</v>
      </c>
      <c r="E3507" t="s">
        <v>7596</v>
      </c>
      <c r="F3507" t="str">
        <f>"00375352"</f>
        <v>00375352</v>
      </c>
      <c r="G3507" t="s">
        <v>862</v>
      </c>
      <c r="H3507" t="s">
        <v>48</v>
      </c>
      <c r="I3507">
        <v>1619</v>
      </c>
      <c r="J3507" t="s">
        <v>21</v>
      </c>
      <c r="K3507">
        <v>0</v>
      </c>
      <c r="L3507" t="s">
        <v>35</v>
      </c>
      <c r="M3507">
        <v>1422</v>
      </c>
    </row>
    <row r="3508" spans="1:13">
      <c r="A3508">
        <v>3502</v>
      </c>
      <c r="B3508">
        <v>114566</v>
      </c>
      <c r="C3508" t="s">
        <v>7597</v>
      </c>
      <c r="D3508" t="s">
        <v>209</v>
      </c>
      <c r="E3508" t="s">
        <v>7598</v>
      </c>
      <c r="F3508" t="str">
        <f>"00417995"</f>
        <v>00417995</v>
      </c>
      <c r="G3508" t="s">
        <v>278</v>
      </c>
      <c r="H3508" t="s">
        <v>137</v>
      </c>
      <c r="I3508">
        <v>1605</v>
      </c>
      <c r="J3508" t="s">
        <v>21</v>
      </c>
      <c r="K3508">
        <v>0</v>
      </c>
      <c r="L3508" t="s">
        <v>35</v>
      </c>
      <c r="M3508">
        <v>957</v>
      </c>
    </row>
    <row r="3509" spans="1:13">
      <c r="A3509">
        <v>3503</v>
      </c>
      <c r="B3509">
        <v>58560</v>
      </c>
      <c r="C3509" t="s">
        <v>7599</v>
      </c>
      <c r="D3509" t="s">
        <v>243</v>
      </c>
      <c r="E3509" t="s">
        <v>7600</v>
      </c>
      <c r="F3509" t="str">
        <f>"00359286"</f>
        <v>00359286</v>
      </c>
      <c r="G3509" t="s">
        <v>1842</v>
      </c>
      <c r="H3509" t="s">
        <v>1843</v>
      </c>
      <c r="I3509">
        <v>1356</v>
      </c>
      <c r="J3509" t="s">
        <v>21</v>
      </c>
      <c r="K3509">
        <v>0</v>
      </c>
      <c r="L3509" t="s">
        <v>35</v>
      </c>
      <c r="M3509">
        <v>1150</v>
      </c>
    </row>
    <row r="3510" spans="1:13">
      <c r="A3510">
        <v>3504</v>
      </c>
      <c r="B3510">
        <v>101274</v>
      </c>
      <c r="C3510" t="s">
        <v>7601</v>
      </c>
      <c r="D3510" t="s">
        <v>90</v>
      </c>
      <c r="E3510" t="s">
        <v>7602</v>
      </c>
      <c r="F3510" t="str">
        <f>"00265016"</f>
        <v>00265016</v>
      </c>
      <c r="G3510" t="s">
        <v>82</v>
      </c>
      <c r="H3510" t="s">
        <v>20</v>
      </c>
      <c r="I3510">
        <v>1475</v>
      </c>
      <c r="J3510" t="s">
        <v>21</v>
      </c>
      <c r="K3510">
        <v>0</v>
      </c>
      <c r="L3510" t="s">
        <v>35</v>
      </c>
      <c r="M3510">
        <v>908</v>
      </c>
    </row>
    <row r="3511" spans="1:13">
      <c r="A3511">
        <v>3505</v>
      </c>
      <c r="B3511">
        <v>87128</v>
      </c>
      <c r="C3511" t="s">
        <v>7603</v>
      </c>
      <c r="D3511" t="s">
        <v>76</v>
      </c>
      <c r="E3511" t="s">
        <v>7604</v>
      </c>
      <c r="F3511" t="str">
        <f>"00388269"</f>
        <v>00388269</v>
      </c>
      <c r="G3511" t="s">
        <v>371</v>
      </c>
      <c r="H3511" t="s">
        <v>20</v>
      </c>
      <c r="I3511">
        <v>1526</v>
      </c>
      <c r="J3511" t="s">
        <v>21</v>
      </c>
      <c r="K3511">
        <v>6</v>
      </c>
      <c r="L3511" t="s">
        <v>35</v>
      </c>
      <c r="M3511">
        <v>508</v>
      </c>
    </row>
    <row r="3512" spans="1:13">
      <c r="A3512">
        <v>3506</v>
      </c>
      <c r="B3512">
        <v>97242</v>
      </c>
      <c r="C3512" t="s">
        <v>7603</v>
      </c>
      <c r="D3512" t="s">
        <v>228</v>
      </c>
      <c r="E3512" t="s">
        <v>7605</v>
      </c>
      <c r="F3512" t="str">
        <f>"00388262"</f>
        <v>00388262</v>
      </c>
      <c r="G3512" t="s">
        <v>150</v>
      </c>
      <c r="H3512" t="s">
        <v>151</v>
      </c>
      <c r="I3512">
        <v>1699</v>
      </c>
      <c r="J3512" t="s">
        <v>21</v>
      </c>
      <c r="K3512">
        <v>0</v>
      </c>
      <c r="L3512" t="s">
        <v>112</v>
      </c>
      <c r="M3512">
        <v>808</v>
      </c>
    </row>
    <row r="3513" spans="1:13">
      <c r="A3513">
        <v>3507</v>
      </c>
      <c r="B3513">
        <v>97602</v>
      </c>
      <c r="C3513" t="s">
        <v>7606</v>
      </c>
      <c r="D3513" t="s">
        <v>80</v>
      </c>
      <c r="E3513" t="s">
        <v>7607</v>
      </c>
      <c r="F3513" t="str">
        <f>"00278575"</f>
        <v>00278575</v>
      </c>
      <c r="G3513" t="s">
        <v>111</v>
      </c>
      <c r="H3513" t="s">
        <v>48</v>
      </c>
      <c r="I3513">
        <v>1620</v>
      </c>
      <c r="J3513" t="s">
        <v>21</v>
      </c>
      <c r="K3513">
        <v>0</v>
      </c>
      <c r="M3513">
        <v>1528</v>
      </c>
    </row>
    <row r="3514" spans="1:13">
      <c r="A3514">
        <v>3508</v>
      </c>
      <c r="B3514">
        <v>52467</v>
      </c>
      <c r="C3514" t="s">
        <v>7608</v>
      </c>
      <c r="D3514" t="s">
        <v>557</v>
      </c>
      <c r="E3514" t="s">
        <v>7609</v>
      </c>
      <c r="F3514" t="str">
        <f>"00348058"</f>
        <v>00348058</v>
      </c>
      <c r="G3514" t="s">
        <v>1134</v>
      </c>
      <c r="H3514" t="s">
        <v>20</v>
      </c>
      <c r="I3514">
        <v>1454</v>
      </c>
      <c r="J3514" t="s">
        <v>21</v>
      </c>
      <c r="K3514">
        <v>6</v>
      </c>
      <c r="M3514">
        <v>1288</v>
      </c>
    </row>
    <row r="3515" spans="1:13">
      <c r="A3515">
        <v>3509</v>
      </c>
      <c r="B3515">
        <v>46742</v>
      </c>
      <c r="C3515" t="s">
        <v>7608</v>
      </c>
      <c r="D3515" t="s">
        <v>90</v>
      </c>
      <c r="E3515" t="s">
        <v>7610</v>
      </c>
      <c r="F3515" t="str">
        <f>"00372065"</f>
        <v>00372065</v>
      </c>
      <c r="G3515" t="s">
        <v>540</v>
      </c>
      <c r="H3515" t="s">
        <v>20</v>
      </c>
      <c r="I3515">
        <v>1435</v>
      </c>
      <c r="J3515" t="s">
        <v>21</v>
      </c>
      <c r="K3515">
        <v>0</v>
      </c>
      <c r="M3515">
        <v>1338</v>
      </c>
    </row>
    <row r="3516" spans="1:13">
      <c r="A3516">
        <v>3510</v>
      </c>
      <c r="B3516">
        <v>114820</v>
      </c>
      <c r="C3516" t="s">
        <v>7611</v>
      </c>
      <c r="D3516" t="s">
        <v>525</v>
      </c>
      <c r="E3516" t="s">
        <v>7612</v>
      </c>
      <c r="F3516" t="str">
        <f>"00421811"</f>
        <v>00421811</v>
      </c>
      <c r="G3516" t="s">
        <v>683</v>
      </c>
      <c r="H3516" t="s">
        <v>119</v>
      </c>
      <c r="I3516">
        <v>1675</v>
      </c>
      <c r="J3516" t="s">
        <v>21</v>
      </c>
      <c r="K3516">
        <v>0</v>
      </c>
      <c r="M3516">
        <v>1503</v>
      </c>
    </row>
    <row r="3517" spans="1:13">
      <c r="A3517">
        <v>3511</v>
      </c>
      <c r="B3517">
        <v>87908</v>
      </c>
      <c r="C3517" t="s">
        <v>7613</v>
      </c>
      <c r="D3517" t="s">
        <v>180</v>
      </c>
      <c r="E3517" t="s">
        <v>7614</v>
      </c>
      <c r="F3517" t="str">
        <f>"00230523"</f>
        <v>00230523</v>
      </c>
      <c r="G3517" t="s">
        <v>150</v>
      </c>
      <c r="H3517" t="s">
        <v>151</v>
      </c>
      <c r="I3517">
        <v>1699</v>
      </c>
      <c r="J3517" t="s">
        <v>21</v>
      </c>
      <c r="K3517">
        <v>0</v>
      </c>
      <c r="M3517">
        <v>1478</v>
      </c>
    </row>
    <row r="3518" spans="1:13">
      <c r="A3518">
        <v>3512</v>
      </c>
      <c r="B3518">
        <v>103571</v>
      </c>
      <c r="C3518" t="s">
        <v>7615</v>
      </c>
      <c r="D3518" t="s">
        <v>391</v>
      </c>
      <c r="E3518" t="s">
        <v>7616</v>
      </c>
      <c r="F3518" t="str">
        <f>"00375967"</f>
        <v>00375967</v>
      </c>
      <c r="G3518" t="s">
        <v>696</v>
      </c>
      <c r="H3518" t="s">
        <v>20</v>
      </c>
      <c r="I3518">
        <v>1520</v>
      </c>
      <c r="J3518" t="s">
        <v>21</v>
      </c>
      <c r="K3518">
        <v>0</v>
      </c>
      <c r="M3518">
        <v>1514</v>
      </c>
    </row>
    <row r="3519" spans="1:13">
      <c r="A3519">
        <v>3513</v>
      </c>
      <c r="B3519">
        <v>84402</v>
      </c>
      <c r="C3519" t="s">
        <v>7617</v>
      </c>
      <c r="D3519" t="s">
        <v>90</v>
      </c>
      <c r="E3519" t="s">
        <v>7618</v>
      </c>
      <c r="F3519" t="str">
        <f>"00383835"</f>
        <v>00383835</v>
      </c>
      <c r="G3519" t="s">
        <v>7406</v>
      </c>
      <c r="H3519" t="s">
        <v>1610</v>
      </c>
      <c r="I3519">
        <v>1307</v>
      </c>
      <c r="J3519" t="s">
        <v>21</v>
      </c>
      <c r="K3519">
        <v>0</v>
      </c>
      <c r="M3519">
        <v>1478</v>
      </c>
    </row>
    <row r="3520" spans="1:13">
      <c r="A3520">
        <v>3514</v>
      </c>
      <c r="B3520">
        <v>112349</v>
      </c>
      <c r="C3520" t="s">
        <v>7619</v>
      </c>
      <c r="D3520" t="s">
        <v>130</v>
      </c>
      <c r="E3520" t="s">
        <v>7620</v>
      </c>
      <c r="F3520" t="str">
        <f>"00259330"</f>
        <v>00259330</v>
      </c>
      <c r="G3520" t="s">
        <v>150</v>
      </c>
      <c r="H3520" t="s">
        <v>151</v>
      </c>
      <c r="I3520">
        <v>1699</v>
      </c>
      <c r="J3520" t="s">
        <v>21</v>
      </c>
      <c r="K3520">
        <v>0</v>
      </c>
      <c r="M3520">
        <v>1378</v>
      </c>
    </row>
    <row r="3521" spans="1:13">
      <c r="A3521">
        <v>3515</v>
      </c>
      <c r="B3521">
        <v>70923</v>
      </c>
      <c r="C3521" t="s">
        <v>7621</v>
      </c>
      <c r="D3521" t="s">
        <v>80</v>
      </c>
      <c r="E3521" t="s">
        <v>7622</v>
      </c>
      <c r="F3521" t="str">
        <f>"00379536"</f>
        <v>00379536</v>
      </c>
      <c r="G3521" t="s">
        <v>47</v>
      </c>
      <c r="H3521" t="s">
        <v>48</v>
      </c>
      <c r="I3521">
        <v>1623</v>
      </c>
      <c r="J3521" t="s">
        <v>21</v>
      </c>
      <c r="K3521">
        <v>0</v>
      </c>
      <c r="L3521" t="s">
        <v>35</v>
      </c>
      <c r="M3521">
        <v>858</v>
      </c>
    </row>
    <row r="3522" spans="1:13">
      <c r="A3522">
        <v>3516</v>
      </c>
      <c r="B3522">
        <v>90477</v>
      </c>
      <c r="C3522" t="s">
        <v>7623</v>
      </c>
      <c r="D3522" t="s">
        <v>180</v>
      </c>
      <c r="E3522" t="s">
        <v>7624</v>
      </c>
      <c r="F3522" t="str">
        <f>"00193270"</f>
        <v>00193270</v>
      </c>
      <c r="G3522" t="s">
        <v>87</v>
      </c>
      <c r="H3522" t="s">
        <v>20</v>
      </c>
      <c r="I3522">
        <v>1436</v>
      </c>
      <c r="J3522" t="s">
        <v>21</v>
      </c>
      <c r="K3522">
        <v>0</v>
      </c>
      <c r="L3522" t="s">
        <v>35</v>
      </c>
      <c r="M3522">
        <v>856</v>
      </c>
    </row>
    <row r="3523" spans="1:13">
      <c r="A3523">
        <v>3517</v>
      </c>
      <c r="B3523">
        <v>71905</v>
      </c>
      <c r="C3523" t="s">
        <v>7623</v>
      </c>
      <c r="D3523" t="s">
        <v>105</v>
      </c>
      <c r="E3523" t="s">
        <v>7625</v>
      </c>
      <c r="F3523" t="str">
        <f>"00356372"</f>
        <v>00356372</v>
      </c>
      <c r="G3523" t="s">
        <v>178</v>
      </c>
      <c r="H3523" t="s">
        <v>20</v>
      </c>
      <c r="I3523">
        <v>1519</v>
      </c>
      <c r="J3523" t="s">
        <v>21</v>
      </c>
      <c r="K3523">
        <v>0</v>
      </c>
      <c r="L3523" t="s">
        <v>112</v>
      </c>
      <c r="M3523">
        <v>1000</v>
      </c>
    </row>
    <row r="3524" spans="1:13">
      <c r="A3524">
        <v>3518</v>
      </c>
      <c r="B3524">
        <v>99556</v>
      </c>
      <c r="C3524" t="s">
        <v>7626</v>
      </c>
      <c r="D3524" t="s">
        <v>180</v>
      </c>
      <c r="E3524" t="s">
        <v>7627</v>
      </c>
      <c r="F3524" t="str">
        <f>"00383975"</f>
        <v>00383975</v>
      </c>
      <c r="G3524" t="s">
        <v>371</v>
      </c>
      <c r="H3524" t="s">
        <v>20</v>
      </c>
      <c r="I3524">
        <v>1526</v>
      </c>
      <c r="J3524" t="s">
        <v>21</v>
      </c>
      <c r="K3524">
        <v>6</v>
      </c>
      <c r="M3524">
        <v>1128</v>
      </c>
    </row>
    <row r="3525" spans="1:13">
      <c r="A3525">
        <v>3519</v>
      </c>
      <c r="B3525">
        <v>91089</v>
      </c>
      <c r="C3525" t="s">
        <v>7628</v>
      </c>
      <c r="D3525" t="s">
        <v>90</v>
      </c>
      <c r="E3525" t="s">
        <v>7629</v>
      </c>
      <c r="F3525" t="str">
        <f>"00383748"</f>
        <v>00383748</v>
      </c>
      <c r="G3525" t="s">
        <v>107</v>
      </c>
      <c r="H3525" t="s">
        <v>20</v>
      </c>
      <c r="I3525">
        <v>1472</v>
      </c>
      <c r="J3525" t="s">
        <v>21</v>
      </c>
      <c r="K3525">
        <v>0</v>
      </c>
      <c r="L3525" t="s">
        <v>59</v>
      </c>
      <c r="M3525">
        <v>1088</v>
      </c>
    </row>
    <row r="3526" spans="1:13">
      <c r="A3526">
        <v>3520</v>
      </c>
      <c r="B3526">
        <v>116760</v>
      </c>
      <c r="C3526" t="s">
        <v>7630</v>
      </c>
      <c r="D3526" t="s">
        <v>76</v>
      </c>
      <c r="E3526" t="s">
        <v>7631</v>
      </c>
      <c r="F3526" t="str">
        <f>"00410691"</f>
        <v>00410691</v>
      </c>
      <c r="G3526" t="s">
        <v>294</v>
      </c>
      <c r="H3526" t="s">
        <v>20</v>
      </c>
      <c r="I3526">
        <v>1421</v>
      </c>
      <c r="J3526" t="s">
        <v>21</v>
      </c>
      <c r="K3526">
        <v>0</v>
      </c>
      <c r="L3526" t="s">
        <v>35</v>
      </c>
      <c r="M3526">
        <v>1158</v>
      </c>
    </row>
    <row r="3527" spans="1:13">
      <c r="A3527">
        <v>3521</v>
      </c>
      <c r="B3527">
        <v>71779</v>
      </c>
      <c r="C3527" t="s">
        <v>7632</v>
      </c>
      <c r="D3527" t="s">
        <v>90</v>
      </c>
      <c r="E3527" t="s">
        <v>7633</v>
      </c>
      <c r="F3527" t="str">
        <f>"00246711"</f>
        <v>00246711</v>
      </c>
      <c r="G3527" t="s">
        <v>2305</v>
      </c>
      <c r="H3527" t="s">
        <v>2306</v>
      </c>
      <c r="I3527">
        <v>1369</v>
      </c>
      <c r="J3527" t="s">
        <v>21</v>
      </c>
      <c r="K3527">
        <v>0</v>
      </c>
      <c r="M3527">
        <v>1607</v>
      </c>
    </row>
    <row r="3528" spans="1:13">
      <c r="A3528">
        <v>3522</v>
      </c>
      <c r="B3528">
        <v>76521</v>
      </c>
      <c r="C3528" t="s">
        <v>7634</v>
      </c>
      <c r="D3528" t="s">
        <v>76</v>
      </c>
      <c r="E3528" t="s">
        <v>7635</v>
      </c>
      <c r="F3528" t="str">
        <f>"00393548"</f>
        <v>00393548</v>
      </c>
      <c r="G3528" t="s">
        <v>3256</v>
      </c>
      <c r="H3528" t="s">
        <v>270</v>
      </c>
      <c r="I3528">
        <v>1582</v>
      </c>
      <c r="J3528" t="s">
        <v>21</v>
      </c>
      <c r="K3528">
        <v>0</v>
      </c>
      <c r="M3528">
        <v>1404</v>
      </c>
    </row>
    <row r="3529" spans="1:13">
      <c r="A3529">
        <v>3523</v>
      </c>
      <c r="B3529">
        <v>75436</v>
      </c>
      <c r="C3529" t="s">
        <v>7636</v>
      </c>
      <c r="D3529" t="s">
        <v>288</v>
      </c>
      <c r="E3529" t="s">
        <v>7637</v>
      </c>
      <c r="F3529" t="str">
        <f>"00386833"</f>
        <v>00386833</v>
      </c>
      <c r="G3529" t="s">
        <v>476</v>
      </c>
      <c r="H3529" t="s">
        <v>20</v>
      </c>
      <c r="I3529">
        <v>1488</v>
      </c>
      <c r="J3529" t="s">
        <v>21</v>
      </c>
      <c r="K3529">
        <v>6</v>
      </c>
      <c r="M3529">
        <v>1478</v>
      </c>
    </row>
    <row r="3530" spans="1:13">
      <c r="A3530">
        <v>3524</v>
      </c>
      <c r="B3530">
        <v>83532</v>
      </c>
      <c r="C3530" t="s">
        <v>7638</v>
      </c>
      <c r="D3530" t="s">
        <v>811</v>
      </c>
      <c r="E3530" t="s">
        <v>7639</v>
      </c>
      <c r="F3530" t="str">
        <f>"00282607"</f>
        <v>00282607</v>
      </c>
      <c r="G3530" t="s">
        <v>38</v>
      </c>
      <c r="H3530" t="s">
        <v>39</v>
      </c>
      <c r="I3530">
        <v>1634</v>
      </c>
      <c r="J3530" t="s">
        <v>21</v>
      </c>
      <c r="K3530">
        <v>6</v>
      </c>
      <c r="L3530" t="s">
        <v>35</v>
      </c>
      <c r="M3530">
        <v>758</v>
      </c>
    </row>
    <row r="3531" spans="1:13">
      <c r="A3531">
        <v>3525</v>
      </c>
      <c r="B3531">
        <v>53467</v>
      </c>
      <c r="C3531" t="s">
        <v>7640</v>
      </c>
      <c r="D3531" t="s">
        <v>180</v>
      </c>
      <c r="E3531" t="s">
        <v>7641</v>
      </c>
      <c r="F3531" t="str">
        <f>"00207384"</f>
        <v>00207384</v>
      </c>
      <c r="G3531" t="s">
        <v>38</v>
      </c>
      <c r="H3531" t="s">
        <v>39</v>
      </c>
      <c r="I3531">
        <v>1634</v>
      </c>
      <c r="J3531" t="s">
        <v>21</v>
      </c>
      <c r="K3531">
        <v>6</v>
      </c>
      <c r="L3531" t="s">
        <v>35</v>
      </c>
      <c r="M3531">
        <v>608</v>
      </c>
    </row>
    <row r="3532" spans="1:13">
      <c r="A3532">
        <v>3526</v>
      </c>
      <c r="B3532">
        <v>74637</v>
      </c>
      <c r="C3532" t="s">
        <v>7642</v>
      </c>
      <c r="D3532" t="s">
        <v>3902</v>
      </c>
      <c r="E3532" t="s">
        <v>7643</v>
      </c>
      <c r="F3532" t="str">
        <f>"201511033319"</f>
        <v>201511033319</v>
      </c>
      <c r="G3532" t="s">
        <v>38</v>
      </c>
      <c r="H3532" t="s">
        <v>39</v>
      </c>
      <c r="I3532">
        <v>1634</v>
      </c>
      <c r="J3532" t="s">
        <v>21</v>
      </c>
      <c r="K3532">
        <v>6</v>
      </c>
      <c r="L3532" t="s">
        <v>83</v>
      </c>
      <c r="M3532">
        <v>868</v>
      </c>
    </row>
    <row r="3533" spans="1:13">
      <c r="A3533">
        <v>3527</v>
      </c>
      <c r="B3533">
        <v>97847</v>
      </c>
      <c r="C3533" t="s">
        <v>7644</v>
      </c>
      <c r="D3533" t="s">
        <v>2021</v>
      </c>
      <c r="E3533" t="s">
        <v>7645</v>
      </c>
      <c r="F3533" t="str">
        <f>"00399854"</f>
        <v>00399854</v>
      </c>
      <c r="G3533" t="s">
        <v>371</v>
      </c>
      <c r="H3533" t="s">
        <v>20</v>
      </c>
      <c r="I3533">
        <v>1526</v>
      </c>
      <c r="J3533" t="s">
        <v>21</v>
      </c>
      <c r="K3533">
        <v>0</v>
      </c>
      <c r="L3533" t="s">
        <v>88</v>
      </c>
      <c r="M3533">
        <v>434</v>
      </c>
    </row>
    <row r="3534" spans="1:13">
      <c r="A3534">
        <v>3528</v>
      </c>
      <c r="B3534">
        <v>116264</v>
      </c>
      <c r="C3534" t="s">
        <v>7646</v>
      </c>
      <c r="D3534" t="s">
        <v>288</v>
      </c>
      <c r="E3534" t="s">
        <v>7647</v>
      </c>
      <c r="F3534" t="str">
        <f>"00418016"</f>
        <v>00418016</v>
      </c>
      <c r="G3534" t="s">
        <v>2284</v>
      </c>
      <c r="H3534" t="s">
        <v>48</v>
      </c>
      <c r="I3534">
        <v>1621</v>
      </c>
      <c r="J3534" t="s">
        <v>21</v>
      </c>
      <c r="K3534">
        <v>0</v>
      </c>
      <c r="M3534">
        <v>1388</v>
      </c>
    </row>
    <row r="3535" spans="1:13">
      <c r="A3535">
        <v>3529</v>
      </c>
      <c r="B3535">
        <v>116372</v>
      </c>
      <c r="C3535" t="s">
        <v>7648</v>
      </c>
      <c r="D3535" t="s">
        <v>218</v>
      </c>
      <c r="E3535" t="s">
        <v>7649</v>
      </c>
      <c r="F3535" t="str">
        <f>"00363669"</f>
        <v>00363669</v>
      </c>
      <c r="G3535" t="s">
        <v>47</v>
      </c>
      <c r="H3535" t="s">
        <v>48</v>
      </c>
      <c r="I3535">
        <v>1623</v>
      </c>
      <c r="J3535" t="s">
        <v>21</v>
      </c>
      <c r="K3535">
        <v>0</v>
      </c>
      <c r="M3535">
        <v>1528</v>
      </c>
    </row>
    <row r="3536" spans="1:13">
      <c r="A3536">
        <v>3530</v>
      </c>
      <c r="B3536">
        <v>78686</v>
      </c>
      <c r="C3536" t="s">
        <v>7650</v>
      </c>
      <c r="D3536" t="s">
        <v>180</v>
      </c>
      <c r="E3536" t="s">
        <v>7651</v>
      </c>
      <c r="F3536" t="str">
        <f>"00301836"</f>
        <v>00301836</v>
      </c>
      <c r="G3536" t="s">
        <v>150</v>
      </c>
      <c r="H3536" t="s">
        <v>151</v>
      </c>
      <c r="I3536">
        <v>1699</v>
      </c>
      <c r="J3536" t="s">
        <v>21</v>
      </c>
      <c r="K3536">
        <v>0</v>
      </c>
      <c r="M3536">
        <v>1431</v>
      </c>
    </row>
    <row r="3537" spans="1:13">
      <c r="A3537">
        <v>3531</v>
      </c>
      <c r="B3537">
        <v>97163</v>
      </c>
      <c r="C3537" t="s">
        <v>7652</v>
      </c>
      <c r="D3537" t="s">
        <v>7653</v>
      </c>
      <c r="E3537" t="s">
        <v>7654</v>
      </c>
      <c r="F3537" t="str">
        <f>"00378781"</f>
        <v>00378781</v>
      </c>
      <c r="G3537" t="s">
        <v>437</v>
      </c>
      <c r="H3537" t="s">
        <v>20</v>
      </c>
      <c r="I3537">
        <v>1407</v>
      </c>
      <c r="J3537" t="s">
        <v>21</v>
      </c>
      <c r="K3537">
        <v>0</v>
      </c>
      <c r="M3537">
        <v>1592</v>
      </c>
    </row>
    <row r="3538" spans="1:13">
      <c r="A3538">
        <v>3532</v>
      </c>
      <c r="B3538">
        <v>71694</v>
      </c>
      <c r="C3538" t="s">
        <v>7655</v>
      </c>
      <c r="D3538" t="s">
        <v>76</v>
      </c>
      <c r="E3538" t="s">
        <v>7656</v>
      </c>
      <c r="F3538" t="str">
        <f>"00379938"</f>
        <v>00379938</v>
      </c>
      <c r="G3538" t="s">
        <v>42</v>
      </c>
      <c r="H3538" t="s">
        <v>43</v>
      </c>
      <c r="I3538">
        <v>1712</v>
      </c>
      <c r="J3538" t="s">
        <v>21</v>
      </c>
      <c r="K3538">
        <v>0</v>
      </c>
      <c r="M3538">
        <v>1600</v>
      </c>
    </row>
    <row r="3539" spans="1:13">
      <c r="A3539">
        <v>3533</v>
      </c>
      <c r="B3539">
        <v>95186</v>
      </c>
      <c r="C3539" t="s">
        <v>7657</v>
      </c>
      <c r="D3539" t="s">
        <v>243</v>
      </c>
      <c r="E3539" t="s">
        <v>7658</v>
      </c>
      <c r="F3539" t="str">
        <f>"00251953"</f>
        <v>00251953</v>
      </c>
      <c r="G3539" t="s">
        <v>150</v>
      </c>
      <c r="H3539" t="s">
        <v>151</v>
      </c>
      <c r="I3539">
        <v>1699</v>
      </c>
      <c r="J3539" t="s">
        <v>21</v>
      </c>
      <c r="K3539">
        <v>0</v>
      </c>
      <c r="L3539" t="s">
        <v>35</v>
      </c>
      <c r="M3539">
        <v>840</v>
      </c>
    </row>
    <row r="3540" spans="1:13">
      <c r="A3540">
        <v>3534</v>
      </c>
      <c r="B3540">
        <v>110926</v>
      </c>
      <c r="C3540" t="s">
        <v>7659</v>
      </c>
      <c r="D3540" t="s">
        <v>94</v>
      </c>
      <c r="E3540" t="s">
        <v>7660</v>
      </c>
      <c r="F3540" t="str">
        <f>"00420519"</f>
        <v>00420519</v>
      </c>
      <c r="G3540" t="s">
        <v>47</v>
      </c>
      <c r="H3540" t="s">
        <v>48</v>
      </c>
      <c r="I3540">
        <v>1623</v>
      </c>
      <c r="J3540" t="s">
        <v>21</v>
      </c>
      <c r="K3540">
        <v>0</v>
      </c>
      <c r="L3540" t="s">
        <v>35</v>
      </c>
      <c r="M3540">
        <v>975</v>
      </c>
    </row>
    <row r="3541" spans="1:13">
      <c r="A3541">
        <v>3535</v>
      </c>
      <c r="B3541">
        <v>57642</v>
      </c>
      <c r="C3541" t="s">
        <v>7661</v>
      </c>
      <c r="D3541" t="s">
        <v>557</v>
      </c>
      <c r="E3541" t="s">
        <v>7662</v>
      </c>
      <c r="F3541" t="str">
        <f>"00301889"</f>
        <v>00301889</v>
      </c>
      <c r="G3541" t="s">
        <v>1203</v>
      </c>
      <c r="H3541" t="s">
        <v>20</v>
      </c>
      <c r="I3541">
        <v>1443</v>
      </c>
      <c r="J3541" t="s">
        <v>21</v>
      </c>
      <c r="K3541">
        <v>0</v>
      </c>
      <c r="M3541">
        <v>1393</v>
      </c>
    </row>
    <row r="3542" spans="1:13">
      <c r="A3542">
        <v>3536</v>
      </c>
      <c r="B3542">
        <v>59833</v>
      </c>
      <c r="C3542" t="s">
        <v>7663</v>
      </c>
      <c r="D3542" t="s">
        <v>153</v>
      </c>
      <c r="E3542" t="s">
        <v>7664</v>
      </c>
      <c r="F3542" t="str">
        <f>"00381796"</f>
        <v>00381796</v>
      </c>
      <c r="G3542" t="s">
        <v>47</v>
      </c>
      <c r="H3542" t="s">
        <v>48</v>
      </c>
      <c r="I3542">
        <v>1623</v>
      </c>
      <c r="J3542" t="s">
        <v>21</v>
      </c>
      <c r="K3542">
        <v>0</v>
      </c>
      <c r="M3542">
        <v>1528</v>
      </c>
    </row>
    <row r="3543" spans="1:13">
      <c r="A3543">
        <v>3537</v>
      </c>
      <c r="B3543">
        <v>108921</v>
      </c>
      <c r="C3543" t="s">
        <v>7665</v>
      </c>
      <c r="D3543" t="s">
        <v>243</v>
      </c>
      <c r="E3543" t="s">
        <v>7666</v>
      </c>
      <c r="F3543" t="str">
        <f>"201511007925"</f>
        <v>201511007925</v>
      </c>
      <c r="G3543" t="s">
        <v>47</v>
      </c>
      <c r="H3543" t="s">
        <v>48</v>
      </c>
      <c r="I3543">
        <v>1623</v>
      </c>
      <c r="J3543" t="s">
        <v>21</v>
      </c>
      <c r="K3543">
        <v>0</v>
      </c>
      <c r="L3543" t="s">
        <v>83</v>
      </c>
      <c r="M3543">
        <v>1288</v>
      </c>
    </row>
    <row r="3544" spans="1:13">
      <c r="A3544">
        <v>3538</v>
      </c>
      <c r="B3544">
        <v>84324</v>
      </c>
      <c r="C3544" t="s">
        <v>7667</v>
      </c>
      <c r="D3544" t="s">
        <v>180</v>
      </c>
      <c r="E3544" t="s">
        <v>7668</v>
      </c>
      <c r="F3544" t="str">
        <f>"200712000828"</f>
        <v>200712000828</v>
      </c>
      <c r="G3544" t="s">
        <v>600</v>
      </c>
      <c r="H3544" t="s">
        <v>366</v>
      </c>
      <c r="I3544">
        <v>1694</v>
      </c>
      <c r="J3544" t="s">
        <v>21</v>
      </c>
      <c r="K3544">
        <v>0</v>
      </c>
      <c r="L3544" t="s">
        <v>35</v>
      </c>
      <c r="M3544">
        <v>908</v>
      </c>
    </row>
    <row r="3545" spans="1:13">
      <c r="A3545">
        <v>3539</v>
      </c>
      <c r="B3545">
        <v>67362</v>
      </c>
      <c r="C3545" t="s">
        <v>7669</v>
      </c>
      <c r="D3545" t="s">
        <v>76</v>
      </c>
      <c r="E3545" t="s">
        <v>7670</v>
      </c>
      <c r="F3545" t="str">
        <f>"00381625"</f>
        <v>00381625</v>
      </c>
      <c r="G3545" t="s">
        <v>1556</v>
      </c>
      <c r="H3545" t="s">
        <v>20</v>
      </c>
      <c r="I3545">
        <v>1530</v>
      </c>
      <c r="J3545" t="s">
        <v>21</v>
      </c>
      <c r="K3545">
        <v>0</v>
      </c>
      <c r="M3545">
        <v>1489</v>
      </c>
    </row>
    <row r="3546" spans="1:13">
      <c r="A3546">
        <v>3540</v>
      </c>
      <c r="B3546">
        <v>73685</v>
      </c>
      <c r="C3546" t="s">
        <v>7671</v>
      </c>
      <c r="D3546" t="s">
        <v>76</v>
      </c>
      <c r="E3546" t="s">
        <v>7672</v>
      </c>
      <c r="F3546" t="str">
        <f>"00046050"</f>
        <v>00046050</v>
      </c>
      <c r="G3546" t="s">
        <v>47</v>
      </c>
      <c r="H3546" t="s">
        <v>48</v>
      </c>
      <c r="I3546">
        <v>1623</v>
      </c>
      <c r="J3546" t="s">
        <v>21</v>
      </c>
      <c r="K3546">
        <v>0</v>
      </c>
      <c r="L3546" t="s">
        <v>35</v>
      </c>
      <c r="M3546">
        <v>858</v>
      </c>
    </row>
    <row r="3547" spans="1:13">
      <c r="A3547">
        <v>3541</v>
      </c>
      <c r="B3547">
        <v>70298</v>
      </c>
      <c r="C3547" t="s">
        <v>7673</v>
      </c>
      <c r="D3547" t="s">
        <v>76</v>
      </c>
      <c r="E3547" t="s">
        <v>7674</v>
      </c>
      <c r="F3547" t="str">
        <f>"00356375"</f>
        <v>00356375</v>
      </c>
      <c r="G3547" t="s">
        <v>600</v>
      </c>
      <c r="H3547" t="s">
        <v>366</v>
      </c>
      <c r="I3547">
        <v>1694</v>
      </c>
      <c r="J3547" t="s">
        <v>21</v>
      </c>
      <c r="K3547">
        <v>0</v>
      </c>
      <c r="L3547" t="s">
        <v>35</v>
      </c>
      <c r="M3547">
        <v>908</v>
      </c>
    </row>
    <row r="3548" spans="1:13">
      <c r="A3548">
        <v>3542</v>
      </c>
      <c r="B3548">
        <v>95850</v>
      </c>
      <c r="C3548" t="s">
        <v>7675</v>
      </c>
      <c r="D3548" t="s">
        <v>180</v>
      </c>
      <c r="E3548" t="s">
        <v>7676</v>
      </c>
      <c r="F3548" t="str">
        <f>"00422326"</f>
        <v>00422326</v>
      </c>
      <c r="G3548" t="s">
        <v>3702</v>
      </c>
      <c r="H3548" t="s">
        <v>20</v>
      </c>
      <c r="I3548">
        <v>1501</v>
      </c>
      <c r="J3548" t="s">
        <v>21</v>
      </c>
      <c r="K3548">
        <v>6</v>
      </c>
      <c r="L3548" t="s">
        <v>35</v>
      </c>
      <c r="M3548">
        <v>819</v>
      </c>
    </row>
    <row r="3549" spans="1:13">
      <c r="A3549">
        <v>3543</v>
      </c>
      <c r="B3549">
        <v>69548</v>
      </c>
      <c r="C3549" t="s">
        <v>7677</v>
      </c>
      <c r="D3549" t="s">
        <v>121</v>
      </c>
      <c r="E3549" t="s">
        <v>7678</v>
      </c>
      <c r="F3549" t="str">
        <f>"00380320"</f>
        <v>00380320</v>
      </c>
      <c r="G3549" t="s">
        <v>1239</v>
      </c>
      <c r="H3549" t="s">
        <v>1296</v>
      </c>
      <c r="I3549">
        <v>1638</v>
      </c>
      <c r="J3549" t="s">
        <v>21</v>
      </c>
      <c r="K3549">
        <v>0</v>
      </c>
      <c r="L3549" t="s">
        <v>35</v>
      </c>
      <c r="M3549">
        <v>1108</v>
      </c>
    </row>
    <row r="3550" spans="1:13">
      <c r="A3550">
        <v>3544</v>
      </c>
      <c r="B3550">
        <v>59787</v>
      </c>
      <c r="C3550" t="s">
        <v>7679</v>
      </c>
      <c r="D3550" t="s">
        <v>2823</v>
      </c>
      <c r="E3550" t="s">
        <v>7680</v>
      </c>
      <c r="F3550" t="str">
        <f>"00233387"</f>
        <v>00233387</v>
      </c>
      <c r="G3550" t="s">
        <v>19</v>
      </c>
      <c r="H3550" t="s">
        <v>20</v>
      </c>
      <c r="I3550">
        <v>1531</v>
      </c>
      <c r="J3550" t="s">
        <v>21</v>
      </c>
      <c r="K3550">
        <v>0</v>
      </c>
      <c r="M3550">
        <v>1368</v>
      </c>
    </row>
    <row r="3551" spans="1:13">
      <c r="A3551">
        <v>3545</v>
      </c>
      <c r="B3551">
        <v>51361</v>
      </c>
      <c r="C3551" t="s">
        <v>7681</v>
      </c>
      <c r="D3551" t="s">
        <v>914</v>
      </c>
      <c r="E3551" t="s">
        <v>7682</v>
      </c>
      <c r="F3551" t="str">
        <f>"00102291"</f>
        <v>00102291</v>
      </c>
      <c r="G3551" t="s">
        <v>107</v>
      </c>
      <c r="H3551" t="s">
        <v>20</v>
      </c>
      <c r="I3551">
        <v>1472</v>
      </c>
      <c r="J3551" t="s">
        <v>21</v>
      </c>
      <c r="K3551">
        <v>0</v>
      </c>
      <c r="L3551" t="s">
        <v>112</v>
      </c>
      <c r="M3551">
        <v>900</v>
      </c>
    </row>
    <row r="3552" spans="1:13">
      <c r="A3552">
        <v>3546</v>
      </c>
      <c r="B3552">
        <v>94031</v>
      </c>
      <c r="C3552" t="s">
        <v>7683</v>
      </c>
      <c r="D3552" t="s">
        <v>65</v>
      </c>
      <c r="E3552" t="s">
        <v>7684</v>
      </c>
      <c r="F3552" t="str">
        <f>"00393364"</f>
        <v>00393364</v>
      </c>
      <c r="G3552" t="s">
        <v>997</v>
      </c>
      <c r="H3552" t="s">
        <v>20</v>
      </c>
      <c r="I3552">
        <v>1502</v>
      </c>
      <c r="J3552" t="s">
        <v>21</v>
      </c>
      <c r="K3552">
        <v>0</v>
      </c>
      <c r="L3552" t="s">
        <v>35</v>
      </c>
      <c r="M3552">
        <v>1075</v>
      </c>
    </row>
    <row r="3553" spans="1:13">
      <c r="A3553">
        <v>3547</v>
      </c>
      <c r="B3553">
        <v>102636</v>
      </c>
      <c r="C3553" t="s">
        <v>7685</v>
      </c>
      <c r="D3553" t="s">
        <v>243</v>
      </c>
      <c r="E3553" t="s">
        <v>7686</v>
      </c>
      <c r="F3553" t="str">
        <f>"00288055"</f>
        <v>00288055</v>
      </c>
      <c r="G3553" t="s">
        <v>47</v>
      </c>
      <c r="H3553" t="s">
        <v>48</v>
      </c>
      <c r="I3553">
        <v>1623</v>
      </c>
      <c r="J3553" t="s">
        <v>21</v>
      </c>
      <c r="K3553">
        <v>0</v>
      </c>
      <c r="M3553">
        <v>1328</v>
      </c>
    </row>
    <row r="3554" spans="1:13">
      <c r="A3554">
        <v>3548</v>
      </c>
      <c r="B3554">
        <v>86140</v>
      </c>
      <c r="C3554" t="s">
        <v>7687</v>
      </c>
      <c r="D3554" t="s">
        <v>238</v>
      </c>
      <c r="E3554" t="s">
        <v>7688</v>
      </c>
      <c r="F3554" t="str">
        <f>"00410032"</f>
        <v>00410032</v>
      </c>
      <c r="G3554" t="s">
        <v>1226</v>
      </c>
      <c r="H3554" t="s">
        <v>137</v>
      </c>
      <c r="I3554">
        <v>1607</v>
      </c>
      <c r="J3554" t="s">
        <v>21</v>
      </c>
      <c r="K3554">
        <v>0</v>
      </c>
      <c r="M3554">
        <v>1488</v>
      </c>
    </row>
    <row r="3555" spans="1:13">
      <c r="A3555">
        <v>3549</v>
      </c>
      <c r="B3555">
        <v>105533</v>
      </c>
      <c r="C3555" t="s">
        <v>7689</v>
      </c>
      <c r="D3555" t="s">
        <v>180</v>
      </c>
      <c r="E3555" t="s">
        <v>7690</v>
      </c>
      <c r="F3555" t="str">
        <f>"00390187"</f>
        <v>00390187</v>
      </c>
      <c r="G3555" t="s">
        <v>150</v>
      </c>
      <c r="H3555" t="s">
        <v>151</v>
      </c>
      <c r="I3555">
        <v>1699</v>
      </c>
      <c r="J3555" t="s">
        <v>21</v>
      </c>
      <c r="K3555">
        <v>0</v>
      </c>
      <c r="M3555">
        <v>1768</v>
      </c>
    </row>
    <row r="3556" spans="1:13">
      <c r="A3556">
        <v>3550</v>
      </c>
      <c r="B3556">
        <v>75862</v>
      </c>
      <c r="C3556" t="s">
        <v>7691</v>
      </c>
      <c r="D3556" t="s">
        <v>145</v>
      </c>
      <c r="E3556" t="s">
        <v>7692</v>
      </c>
      <c r="F3556" t="str">
        <f>"00403026"</f>
        <v>00403026</v>
      </c>
      <c r="G3556" t="s">
        <v>547</v>
      </c>
      <c r="H3556" t="s">
        <v>274</v>
      </c>
      <c r="I3556">
        <v>1384</v>
      </c>
      <c r="J3556" t="s">
        <v>21</v>
      </c>
      <c r="K3556">
        <v>6</v>
      </c>
      <c r="L3556" t="s">
        <v>35</v>
      </c>
      <c r="M3556">
        <v>708</v>
      </c>
    </row>
    <row r="3557" spans="1:13">
      <c r="A3557">
        <v>3551</v>
      </c>
      <c r="B3557">
        <v>60228</v>
      </c>
      <c r="C3557" t="s">
        <v>7693</v>
      </c>
      <c r="D3557" t="s">
        <v>563</v>
      </c>
      <c r="E3557" t="s">
        <v>7694</v>
      </c>
      <c r="F3557" t="str">
        <f>"201506001050"</f>
        <v>201506001050</v>
      </c>
      <c r="G3557" t="s">
        <v>1005</v>
      </c>
      <c r="H3557" t="s">
        <v>216</v>
      </c>
      <c r="I3557">
        <v>1710</v>
      </c>
      <c r="J3557" t="s">
        <v>21</v>
      </c>
      <c r="K3557">
        <v>6</v>
      </c>
      <c r="M3557">
        <v>1341</v>
      </c>
    </row>
    <row r="3558" spans="1:13">
      <c r="A3558">
        <v>3552</v>
      </c>
      <c r="B3558">
        <v>111274</v>
      </c>
      <c r="C3558" t="s">
        <v>7695</v>
      </c>
      <c r="D3558" t="s">
        <v>76</v>
      </c>
      <c r="E3558" t="s">
        <v>7696</v>
      </c>
      <c r="F3558" t="str">
        <f>"00422113"</f>
        <v>00422113</v>
      </c>
      <c r="G3558" t="s">
        <v>4757</v>
      </c>
      <c r="H3558" t="s">
        <v>20</v>
      </c>
      <c r="I3558">
        <v>1462</v>
      </c>
      <c r="J3558" t="s">
        <v>21</v>
      </c>
      <c r="K3558">
        <v>0</v>
      </c>
      <c r="L3558" t="s">
        <v>35</v>
      </c>
      <c r="M3558">
        <v>1575</v>
      </c>
    </row>
    <row r="3559" spans="1:13">
      <c r="A3559">
        <v>3553</v>
      </c>
      <c r="B3559">
        <v>76661</v>
      </c>
      <c r="C3559" t="s">
        <v>7697</v>
      </c>
      <c r="D3559" t="s">
        <v>218</v>
      </c>
      <c r="E3559" t="s">
        <v>7698</v>
      </c>
      <c r="F3559" t="str">
        <f>"00340423"</f>
        <v>00340423</v>
      </c>
      <c r="G3559" t="s">
        <v>170</v>
      </c>
      <c r="H3559" t="s">
        <v>20</v>
      </c>
      <c r="I3559">
        <v>1412</v>
      </c>
      <c r="J3559" t="s">
        <v>21</v>
      </c>
      <c r="K3559">
        <v>0</v>
      </c>
      <c r="M3559">
        <v>1338</v>
      </c>
    </row>
    <row r="3560" spans="1:13">
      <c r="A3560">
        <v>3554</v>
      </c>
      <c r="B3560">
        <v>94187</v>
      </c>
      <c r="C3560" t="s">
        <v>7699</v>
      </c>
      <c r="D3560" t="s">
        <v>180</v>
      </c>
      <c r="E3560" t="s">
        <v>7700</v>
      </c>
      <c r="F3560" t="str">
        <f>"00375768"</f>
        <v>00375768</v>
      </c>
      <c r="G3560" t="s">
        <v>4036</v>
      </c>
      <c r="H3560" t="s">
        <v>20</v>
      </c>
      <c r="I3560">
        <v>1442</v>
      </c>
      <c r="J3560" t="s">
        <v>21</v>
      </c>
      <c r="K3560">
        <v>0</v>
      </c>
      <c r="L3560" t="s">
        <v>35</v>
      </c>
      <c r="M3560">
        <v>983</v>
      </c>
    </row>
    <row r="3561" spans="1:13">
      <c r="A3561">
        <v>3555</v>
      </c>
      <c r="B3561">
        <v>59749</v>
      </c>
      <c r="C3561" t="s">
        <v>7701</v>
      </c>
      <c r="D3561" t="s">
        <v>7653</v>
      </c>
      <c r="E3561" t="s">
        <v>7702</v>
      </c>
      <c r="F3561" t="str">
        <f>"00355955"</f>
        <v>00355955</v>
      </c>
      <c r="G3561" t="s">
        <v>5924</v>
      </c>
      <c r="H3561" t="s">
        <v>5925</v>
      </c>
      <c r="I3561">
        <v>1357</v>
      </c>
      <c r="J3561" t="s">
        <v>21</v>
      </c>
      <c r="K3561">
        <v>0</v>
      </c>
      <c r="M3561">
        <v>1980</v>
      </c>
    </row>
    <row r="3562" spans="1:13">
      <c r="A3562">
        <v>3556</v>
      </c>
      <c r="B3562">
        <v>93846</v>
      </c>
      <c r="C3562" t="s">
        <v>7703</v>
      </c>
      <c r="D3562" t="s">
        <v>76</v>
      </c>
      <c r="E3562" t="s">
        <v>7704</v>
      </c>
      <c r="F3562" t="str">
        <f>"00398608"</f>
        <v>00398608</v>
      </c>
      <c r="G3562" t="s">
        <v>47</v>
      </c>
      <c r="H3562" t="s">
        <v>48</v>
      </c>
      <c r="I3562">
        <v>1623</v>
      </c>
      <c r="J3562" t="s">
        <v>21</v>
      </c>
      <c r="K3562">
        <v>0</v>
      </c>
      <c r="M3562">
        <v>1358</v>
      </c>
    </row>
    <row r="3563" spans="1:13">
      <c r="A3563">
        <v>3557</v>
      </c>
      <c r="B3563">
        <v>85458</v>
      </c>
      <c r="C3563" t="s">
        <v>7705</v>
      </c>
      <c r="D3563" t="s">
        <v>4977</v>
      </c>
      <c r="E3563" t="s">
        <v>7706</v>
      </c>
      <c r="F3563" t="str">
        <f>"00267321"</f>
        <v>00267321</v>
      </c>
      <c r="G3563" t="s">
        <v>230</v>
      </c>
      <c r="H3563" t="s">
        <v>20</v>
      </c>
      <c r="I3563">
        <v>1545</v>
      </c>
      <c r="J3563" t="s">
        <v>21</v>
      </c>
      <c r="K3563">
        <v>0</v>
      </c>
      <c r="L3563" t="s">
        <v>35</v>
      </c>
      <c r="M3563">
        <v>1100</v>
      </c>
    </row>
    <row r="3564" spans="1:13">
      <c r="A3564">
        <v>3558</v>
      </c>
      <c r="B3564">
        <v>98500</v>
      </c>
      <c r="C3564" t="s">
        <v>7707</v>
      </c>
      <c r="D3564" t="s">
        <v>660</v>
      </c>
      <c r="E3564" t="s">
        <v>7708</v>
      </c>
      <c r="F3564" t="str">
        <f>"00389089"</f>
        <v>00389089</v>
      </c>
      <c r="G3564" t="s">
        <v>215</v>
      </c>
      <c r="H3564" t="s">
        <v>216</v>
      </c>
      <c r="I3564">
        <v>1708</v>
      </c>
      <c r="J3564" t="s">
        <v>21</v>
      </c>
      <c r="K3564">
        <v>6</v>
      </c>
      <c r="L3564" t="s">
        <v>35</v>
      </c>
      <c r="M3564">
        <v>808</v>
      </c>
    </row>
    <row r="3565" spans="1:13">
      <c r="A3565">
        <v>3559</v>
      </c>
      <c r="B3565">
        <v>110250</v>
      </c>
      <c r="C3565" t="s">
        <v>7709</v>
      </c>
      <c r="D3565" t="s">
        <v>130</v>
      </c>
      <c r="E3565" t="s">
        <v>7710</v>
      </c>
      <c r="F3565" t="str">
        <f>"00409479"</f>
        <v>00409479</v>
      </c>
      <c r="G3565" t="s">
        <v>1245</v>
      </c>
      <c r="H3565" t="s">
        <v>20</v>
      </c>
      <c r="I3565">
        <v>1527</v>
      </c>
      <c r="J3565" t="s">
        <v>21</v>
      </c>
      <c r="K3565">
        <v>0</v>
      </c>
      <c r="L3565" t="s">
        <v>59</v>
      </c>
      <c r="M3565">
        <v>788</v>
      </c>
    </row>
    <row r="3566" spans="1:13">
      <c r="A3566">
        <v>3560</v>
      </c>
      <c r="B3566">
        <v>50761</v>
      </c>
      <c r="C3566" t="s">
        <v>7711</v>
      </c>
      <c r="D3566" t="s">
        <v>98</v>
      </c>
      <c r="E3566" t="s">
        <v>7712</v>
      </c>
      <c r="F3566" t="str">
        <f>"00309280"</f>
        <v>00309280</v>
      </c>
      <c r="G3566" t="s">
        <v>125</v>
      </c>
      <c r="H3566" t="s">
        <v>20</v>
      </c>
      <c r="I3566">
        <v>1507</v>
      </c>
      <c r="J3566" t="s">
        <v>21</v>
      </c>
      <c r="K3566">
        <v>0</v>
      </c>
      <c r="M3566">
        <v>1528</v>
      </c>
    </row>
    <row r="3567" spans="1:13">
      <c r="A3567">
        <v>3561</v>
      </c>
      <c r="B3567">
        <v>58527</v>
      </c>
      <c r="C3567" t="s">
        <v>7713</v>
      </c>
      <c r="D3567" t="s">
        <v>243</v>
      </c>
      <c r="E3567" t="s">
        <v>7714</v>
      </c>
      <c r="F3567" t="str">
        <f>"00222589"</f>
        <v>00222589</v>
      </c>
      <c r="G3567" t="s">
        <v>47</v>
      </c>
      <c r="H3567" t="s">
        <v>48</v>
      </c>
      <c r="I3567">
        <v>1623</v>
      </c>
      <c r="J3567" t="s">
        <v>21</v>
      </c>
      <c r="K3567">
        <v>0</v>
      </c>
      <c r="M3567">
        <v>1488</v>
      </c>
    </row>
    <row r="3568" spans="1:13">
      <c r="A3568">
        <v>3562</v>
      </c>
      <c r="B3568">
        <v>70812</v>
      </c>
      <c r="C3568" t="s">
        <v>7715</v>
      </c>
      <c r="D3568" t="s">
        <v>98</v>
      </c>
      <c r="E3568" t="s">
        <v>7716</v>
      </c>
      <c r="F3568" t="str">
        <f>"00399655"</f>
        <v>00399655</v>
      </c>
      <c r="G3568" t="s">
        <v>245</v>
      </c>
      <c r="H3568" t="s">
        <v>20</v>
      </c>
      <c r="I3568">
        <v>1406</v>
      </c>
      <c r="J3568" t="s">
        <v>21</v>
      </c>
      <c r="K3568">
        <v>0</v>
      </c>
      <c r="L3568" t="s">
        <v>112</v>
      </c>
      <c r="M3568">
        <v>886</v>
      </c>
    </row>
    <row r="3569" spans="1:13">
      <c r="A3569">
        <v>3563</v>
      </c>
      <c r="B3569">
        <v>96108</v>
      </c>
      <c r="C3569" t="s">
        <v>7717</v>
      </c>
      <c r="D3569" t="s">
        <v>90</v>
      </c>
      <c r="E3569" t="s">
        <v>7718</v>
      </c>
      <c r="F3569" t="str">
        <f>"00272621"</f>
        <v>00272621</v>
      </c>
      <c r="G3569" t="s">
        <v>230</v>
      </c>
      <c r="H3569" t="s">
        <v>20</v>
      </c>
      <c r="I3569">
        <v>1545</v>
      </c>
      <c r="J3569" t="s">
        <v>21</v>
      </c>
      <c r="K3569">
        <v>0</v>
      </c>
      <c r="M3569">
        <v>1498</v>
      </c>
    </row>
    <row r="3570" spans="1:13">
      <c r="A3570">
        <v>3564</v>
      </c>
      <c r="B3570">
        <v>76835</v>
      </c>
      <c r="C3570" t="s">
        <v>7719</v>
      </c>
      <c r="D3570" t="s">
        <v>65</v>
      </c>
      <c r="E3570" t="s">
        <v>7720</v>
      </c>
      <c r="F3570" t="str">
        <f>"00254718"</f>
        <v>00254718</v>
      </c>
      <c r="G3570" t="s">
        <v>63</v>
      </c>
      <c r="H3570" t="s">
        <v>20</v>
      </c>
      <c r="I3570">
        <v>1576</v>
      </c>
      <c r="J3570" t="s">
        <v>21</v>
      </c>
      <c r="K3570">
        <v>0</v>
      </c>
      <c r="L3570" t="s">
        <v>88</v>
      </c>
      <c r="M3570">
        <v>685</v>
      </c>
    </row>
    <row r="3571" spans="1:13">
      <c r="A3571">
        <v>3565</v>
      </c>
      <c r="B3571">
        <v>115366</v>
      </c>
      <c r="C3571" t="s">
        <v>7721</v>
      </c>
      <c r="D3571" t="s">
        <v>563</v>
      </c>
      <c r="E3571" t="s">
        <v>7722</v>
      </c>
      <c r="F3571" t="str">
        <f>"00418861"</f>
        <v>00418861</v>
      </c>
      <c r="G3571" t="s">
        <v>2305</v>
      </c>
      <c r="H3571" t="s">
        <v>2306</v>
      </c>
      <c r="I3571">
        <v>1369</v>
      </c>
      <c r="J3571" t="s">
        <v>21</v>
      </c>
      <c r="K3571">
        <v>0</v>
      </c>
      <c r="L3571" t="s">
        <v>35</v>
      </c>
      <c r="M3571">
        <v>1086</v>
      </c>
    </row>
    <row r="3572" spans="1:13">
      <c r="A3572">
        <v>3566</v>
      </c>
      <c r="B3572">
        <v>88334</v>
      </c>
      <c r="C3572" t="s">
        <v>7723</v>
      </c>
      <c r="D3572" t="s">
        <v>105</v>
      </c>
      <c r="E3572" t="s">
        <v>7724</v>
      </c>
      <c r="F3572" t="str">
        <f>"00418611"</f>
        <v>00418611</v>
      </c>
      <c r="G3572" t="s">
        <v>465</v>
      </c>
      <c r="H3572" t="s">
        <v>20</v>
      </c>
      <c r="I3572">
        <v>1534</v>
      </c>
      <c r="J3572" t="s">
        <v>21</v>
      </c>
      <c r="K3572">
        <v>0</v>
      </c>
      <c r="L3572" t="s">
        <v>35</v>
      </c>
      <c r="M3572">
        <v>900</v>
      </c>
    </row>
    <row r="3573" spans="1:13">
      <c r="A3573">
        <v>3567</v>
      </c>
      <c r="B3573">
        <v>46907</v>
      </c>
      <c r="C3573" t="s">
        <v>7725</v>
      </c>
      <c r="D3573" t="s">
        <v>76</v>
      </c>
      <c r="E3573" t="s">
        <v>7726</v>
      </c>
      <c r="F3573" t="str">
        <f>"00002920"</f>
        <v>00002920</v>
      </c>
      <c r="G3573" t="s">
        <v>230</v>
      </c>
      <c r="H3573" t="s">
        <v>20</v>
      </c>
      <c r="I3573">
        <v>1545</v>
      </c>
      <c r="J3573" t="s">
        <v>21</v>
      </c>
      <c r="K3573">
        <v>0</v>
      </c>
      <c r="M3573">
        <v>1602</v>
      </c>
    </row>
    <row r="3574" spans="1:13">
      <c r="A3574">
        <v>3568</v>
      </c>
      <c r="B3574">
        <v>99971</v>
      </c>
      <c r="C3574" t="s">
        <v>7727</v>
      </c>
      <c r="D3574" t="s">
        <v>180</v>
      </c>
      <c r="E3574" t="s">
        <v>7728</v>
      </c>
      <c r="F3574" t="str">
        <f>"00387359"</f>
        <v>00387359</v>
      </c>
      <c r="G3574" t="s">
        <v>38</v>
      </c>
      <c r="H3574" t="s">
        <v>39</v>
      </c>
      <c r="I3574">
        <v>1634</v>
      </c>
      <c r="J3574" t="s">
        <v>21</v>
      </c>
      <c r="K3574">
        <v>0</v>
      </c>
      <c r="L3574" t="s">
        <v>88</v>
      </c>
      <c r="M3574">
        <v>400</v>
      </c>
    </row>
    <row r="3575" spans="1:13">
      <c r="A3575">
        <v>3569</v>
      </c>
      <c r="B3575">
        <v>55620</v>
      </c>
      <c r="C3575" t="s">
        <v>7729</v>
      </c>
      <c r="D3575" t="s">
        <v>180</v>
      </c>
      <c r="E3575" t="s">
        <v>7730</v>
      </c>
      <c r="F3575" t="str">
        <f>"00358423"</f>
        <v>00358423</v>
      </c>
      <c r="G3575" t="s">
        <v>107</v>
      </c>
      <c r="H3575" t="s">
        <v>20</v>
      </c>
      <c r="I3575">
        <v>1472</v>
      </c>
      <c r="J3575" t="s">
        <v>21</v>
      </c>
      <c r="K3575">
        <v>0</v>
      </c>
      <c r="L3575" t="s">
        <v>88</v>
      </c>
      <c r="M3575">
        <v>758</v>
      </c>
    </row>
    <row r="3576" spans="1:13">
      <c r="A3576">
        <v>3570</v>
      </c>
      <c r="B3576">
        <v>94230</v>
      </c>
      <c r="C3576" t="s">
        <v>7731</v>
      </c>
      <c r="D3576" t="s">
        <v>127</v>
      </c>
      <c r="E3576" t="s">
        <v>7732</v>
      </c>
      <c r="F3576" t="str">
        <f>"00255051"</f>
        <v>00255051</v>
      </c>
      <c r="G3576" t="s">
        <v>107</v>
      </c>
      <c r="H3576" t="s">
        <v>20</v>
      </c>
      <c r="I3576">
        <v>1472</v>
      </c>
      <c r="J3576" t="s">
        <v>21</v>
      </c>
      <c r="K3576">
        <v>0</v>
      </c>
      <c r="L3576" t="s">
        <v>112</v>
      </c>
      <c r="M3576">
        <v>820</v>
      </c>
    </row>
    <row r="3577" spans="1:13">
      <c r="A3577">
        <v>3571</v>
      </c>
      <c r="B3577">
        <v>93971</v>
      </c>
      <c r="C3577" t="s">
        <v>7733</v>
      </c>
      <c r="D3577" t="s">
        <v>218</v>
      </c>
      <c r="E3577" t="s">
        <v>7734</v>
      </c>
      <c r="F3577" t="str">
        <f>"00275952"</f>
        <v>00275952</v>
      </c>
      <c r="G3577" t="s">
        <v>721</v>
      </c>
      <c r="H3577" t="s">
        <v>20</v>
      </c>
      <c r="I3577">
        <v>1575</v>
      </c>
      <c r="J3577" t="s">
        <v>21</v>
      </c>
      <c r="K3577">
        <v>0</v>
      </c>
      <c r="M3577">
        <v>1372</v>
      </c>
    </row>
    <row r="3578" spans="1:13">
      <c r="A3578">
        <v>3572</v>
      </c>
      <c r="B3578">
        <v>71183</v>
      </c>
      <c r="C3578" t="s">
        <v>7735</v>
      </c>
      <c r="D3578" t="s">
        <v>80</v>
      </c>
      <c r="E3578" t="s">
        <v>7736</v>
      </c>
      <c r="F3578" t="str">
        <f>"00039358"</f>
        <v>00039358</v>
      </c>
      <c r="G3578" t="s">
        <v>170</v>
      </c>
      <c r="H3578" t="s">
        <v>20</v>
      </c>
      <c r="I3578">
        <v>1412</v>
      </c>
      <c r="J3578" t="s">
        <v>21</v>
      </c>
      <c r="K3578">
        <v>0</v>
      </c>
      <c r="L3578" t="s">
        <v>35</v>
      </c>
      <c r="M3578">
        <v>890</v>
      </c>
    </row>
    <row r="3579" spans="1:13">
      <c r="A3579">
        <v>3573</v>
      </c>
      <c r="B3579">
        <v>105038</v>
      </c>
      <c r="C3579" t="s">
        <v>7737</v>
      </c>
      <c r="D3579" t="s">
        <v>243</v>
      </c>
      <c r="E3579" t="s">
        <v>7738</v>
      </c>
      <c r="F3579" t="str">
        <f>"00407689"</f>
        <v>00407689</v>
      </c>
      <c r="G3579" t="s">
        <v>600</v>
      </c>
      <c r="H3579" t="s">
        <v>366</v>
      </c>
      <c r="I3579">
        <v>1694</v>
      </c>
      <c r="J3579" t="s">
        <v>21</v>
      </c>
      <c r="K3579">
        <v>0</v>
      </c>
      <c r="L3579" t="s">
        <v>35</v>
      </c>
      <c r="M3579">
        <v>908</v>
      </c>
    </row>
    <row r="3580" spans="1:13">
      <c r="A3580">
        <v>3574</v>
      </c>
      <c r="B3580">
        <v>55341</v>
      </c>
      <c r="C3580" t="s">
        <v>7739</v>
      </c>
      <c r="D3580" t="s">
        <v>243</v>
      </c>
      <c r="E3580" t="s">
        <v>7740</v>
      </c>
      <c r="F3580" t="str">
        <f>"00257402"</f>
        <v>00257402</v>
      </c>
      <c r="G3580" t="s">
        <v>215</v>
      </c>
      <c r="H3580" t="s">
        <v>216</v>
      </c>
      <c r="I3580">
        <v>1708</v>
      </c>
      <c r="J3580" t="s">
        <v>21</v>
      </c>
      <c r="K3580">
        <v>6</v>
      </c>
      <c r="L3580" t="s">
        <v>35</v>
      </c>
      <c r="M3580">
        <v>808</v>
      </c>
    </row>
    <row r="3581" spans="1:13">
      <c r="A3581">
        <v>3575</v>
      </c>
      <c r="B3581">
        <v>72105</v>
      </c>
      <c r="C3581" t="s">
        <v>7741</v>
      </c>
      <c r="D3581" t="s">
        <v>218</v>
      </c>
      <c r="E3581" t="s">
        <v>7742</v>
      </c>
      <c r="F3581" t="str">
        <f>"00292794"</f>
        <v>00292794</v>
      </c>
      <c r="G3581" t="s">
        <v>47</v>
      </c>
      <c r="H3581" t="s">
        <v>48</v>
      </c>
      <c r="I3581">
        <v>1623</v>
      </c>
      <c r="J3581" t="s">
        <v>21</v>
      </c>
      <c r="K3581">
        <v>0</v>
      </c>
      <c r="M3581">
        <v>2028</v>
      </c>
    </row>
    <row r="3582" spans="1:13">
      <c r="A3582">
        <v>3576</v>
      </c>
      <c r="B3582">
        <v>57556</v>
      </c>
      <c r="C3582" t="s">
        <v>7743</v>
      </c>
      <c r="D3582" t="s">
        <v>153</v>
      </c>
      <c r="E3582" t="s">
        <v>7744</v>
      </c>
      <c r="F3582" t="str">
        <f>"00372544"</f>
        <v>00372544</v>
      </c>
      <c r="G3582" t="s">
        <v>125</v>
      </c>
      <c r="H3582" t="s">
        <v>20</v>
      </c>
      <c r="I3582">
        <v>1507</v>
      </c>
      <c r="J3582" t="s">
        <v>21</v>
      </c>
      <c r="K3582">
        <v>0</v>
      </c>
      <c r="M3582">
        <v>1539</v>
      </c>
    </row>
    <row r="3583" spans="1:13">
      <c r="A3583">
        <v>3577</v>
      </c>
      <c r="B3583">
        <v>64655</v>
      </c>
      <c r="C3583" t="s">
        <v>7745</v>
      </c>
      <c r="D3583" t="s">
        <v>90</v>
      </c>
      <c r="E3583" t="s">
        <v>7746</v>
      </c>
      <c r="F3583" t="str">
        <f>"00141832"</f>
        <v>00141832</v>
      </c>
      <c r="G3583" t="s">
        <v>107</v>
      </c>
      <c r="H3583" t="s">
        <v>20</v>
      </c>
      <c r="I3583">
        <v>1472</v>
      </c>
      <c r="J3583" t="s">
        <v>21</v>
      </c>
      <c r="K3583">
        <v>0</v>
      </c>
      <c r="L3583" t="s">
        <v>88</v>
      </c>
      <c r="M3583">
        <v>755</v>
      </c>
    </row>
    <row r="3584" spans="1:13">
      <c r="A3584">
        <v>3578</v>
      </c>
      <c r="B3584">
        <v>92785</v>
      </c>
      <c r="C3584" t="s">
        <v>7747</v>
      </c>
      <c r="D3584" t="s">
        <v>213</v>
      </c>
      <c r="E3584" t="s">
        <v>7748</v>
      </c>
      <c r="F3584" t="str">
        <f>"200905000001"</f>
        <v>200905000001</v>
      </c>
      <c r="G3584" t="s">
        <v>2710</v>
      </c>
      <c r="H3584" t="s">
        <v>366</v>
      </c>
      <c r="I3584">
        <v>1691</v>
      </c>
      <c r="J3584" t="s">
        <v>21</v>
      </c>
      <c r="K3584">
        <v>0</v>
      </c>
      <c r="L3584" t="s">
        <v>35</v>
      </c>
      <c r="M3584">
        <v>935</v>
      </c>
    </row>
    <row r="3585" spans="1:13">
      <c r="A3585">
        <v>3579</v>
      </c>
      <c r="B3585">
        <v>51244</v>
      </c>
      <c r="C3585" t="s">
        <v>7749</v>
      </c>
      <c r="D3585" t="s">
        <v>213</v>
      </c>
      <c r="E3585" t="s">
        <v>7750</v>
      </c>
      <c r="F3585" t="str">
        <f>"00234153"</f>
        <v>00234153</v>
      </c>
      <c r="G3585" t="s">
        <v>1107</v>
      </c>
      <c r="H3585" t="s">
        <v>1212</v>
      </c>
      <c r="I3585">
        <v>1654</v>
      </c>
      <c r="J3585" t="s">
        <v>21</v>
      </c>
      <c r="K3585">
        <v>0</v>
      </c>
      <c r="M3585">
        <v>1388</v>
      </c>
    </row>
    <row r="3586" spans="1:13">
      <c r="A3586">
        <v>3580</v>
      </c>
      <c r="B3586">
        <v>83889</v>
      </c>
      <c r="C3586" t="s">
        <v>7751</v>
      </c>
      <c r="D3586" t="s">
        <v>7752</v>
      </c>
      <c r="E3586" t="s">
        <v>7753</v>
      </c>
      <c r="F3586" t="str">
        <f>"00250639"</f>
        <v>00250639</v>
      </c>
      <c r="G3586" t="s">
        <v>3854</v>
      </c>
      <c r="H3586" t="s">
        <v>308</v>
      </c>
      <c r="I3586">
        <v>1591</v>
      </c>
      <c r="J3586" t="s">
        <v>21</v>
      </c>
      <c r="K3586">
        <v>0</v>
      </c>
      <c r="M3586">
        <v>1388</v>
      </c>
    </row>
    <row r="3587" spans="1:13">
      <c r="A3587">
        <v>3581</v>
      </c>
      <c r="B3587">
        <v>54974</v>
      </c>
      <c r="C3587" t="s">
        <v>7754</v>
      </c>
      <c r="D3587" t="s">
        <v>243</v>
      </c>
      <c r="E3587" t="s">
        <v>7755</v>
      </c>
      <c r="F3587" t="str">
        <f>"00352765"</f>
        <v>00352765</v>
      </c>
      <c r="G3587" t="s">
        <v>358</v>
      </c>
      <c r="H3587" t="s">
        <v>20</v>
      </c>
      <c r="I3587">
        <v>1549</v>
      </c>
      <c r="J3587" t="s">
        <v>21</v>
      </c>
      <c r="K3587">
        <v>0</v>
      </c>
      <c r="M3587">
        <v>1428</v>
      </c>
    </row>
    <row r="3588" spans="1:13">
      <c r="A3588">
        <v>3582</v>
      </c>
      <c r="B3588">
        <v>96795</v>
      </c>
      <c r="C3588" t="s">
        <v>7756</v>
      </c>
      <c r="D3588" t="s">
        <v>213</v>
      </c>
      <c r="E3588" t="s">
        <v>7757</v>
      </c>
      <c r="F3588" t="str">
        <f>"00374796"</f>
        <v>00374796</v>
      </c>
      <c r="G3588" t="s">
        <v>226</v>
      </c>
      <c r="H3588" t="s">
        <v>20</v>
      </c>
      <c r="I3588">
        <v>1510</v>
      </c>
      <c r="J3588" t="s">
        <v>21</v>
      </c>
      <c r="K3588">
        <v>0</v>
      </c>
      <c r="M3588">
        <v>1420</v>
      </c>
    </row>
    <row r="3589" spans="1:13">
      <c r="A3589">
        <v>3583</v>
      </c>
      <c r="B3589">
        <v>88078</v>
      </c>
      <c r="C3589" t="s">
        <v>7758</v>
      </c>
      <c r="D3589" t="s">
        <v>80</v>
      </c>
      <c r="E3589" t="s">
        <v>7759</v>
      </c>
      <c r="F3589" t="str">
        <f>"00420435"</f>
        <v>00420435</v>
      </c>
      <c r="G3589" t="s">
        <v>111</v>
      </c>
      <c r="H3589" t="s">
        <v>48</v>
      </c>
      <c r="I3589">
        <v>1620</v>
      </c>
      <c r="J3589" t="s">
        <v>21</v>
      </c>
      <c r="K3589">
        <v>0</v>
      </c>
      <c r="M3589">
        <v>1392</v>
      </c>
    </row>
    <row r="3590" spans="1:13">
      <c r="A3590">
        <v>3584</v>
      </c>
      <c r="B3590">
        <v>62067</v>
      </c>
      <c r="C3590" t="s">
        <v>7760</v>
      </c>
      <c r="D3590" t="s">
        <v>80</v>
      </c>
      <c r="E3590" t="s">
        <v>7761</v>
      </c>
      <c r="F3590" t="str">
        <f>"00037387"</f>
        <v>00037387</v>
      </c>
      <c r="G3590" t="s">
        <v>150</v>
      </c>
      <c r="H3590" t="s">
        <v>151</v>
      </c>
      <c r="I3590">
        <v>1699</v>
      </c>
      <c r="J3590" t="s">
        <v>21</v>
      </c>
      <c r="K3590">
        <v>0</v>
      </c>
      <c r="M3590">
        <v>1728</v>
      </c>
    </row>
    <row r="3591" spans="1:13">
      <c r="A3591">
        <v>3585</v>
      </c>
      <c r="B3591">
        <v>103254</v>
      </c>
      <c r="C3591" t="s">
        <v>7762</v>
      </c>
      <c r="D3591" t="s">
        <v>105</v>
      </c>
      <c r="E3591" t="s">
        <v>7763</v>
      </c>
      <c r="F3591" t="str">
        <f>"00029884"</f>
        <v>00029884</v>
      </c>
      <c r="G3591" t="s">
        <v>1393</v>
      </c>
      <c r="H3591" t="s">
        <v>20</v>
      </c>
      <c r="I3591">
        <v>1498</v>
      </c>
      <c r="J3591" t="s">
        <v>21</v>
      </c>
      <c r="K3591">
        <v>0</v>
      </c>
      <c r="M3591">
        <v>1488</v>
      </c>
    </row>
    <row r="3592" spans="1:13">
      <c r="A3592">
        <v>3586</v>
      </c>
      <c r="B3592">
        <v>75376</v>
      </c>
      <c r="C3592" t="s">
        <v>7764</v>
      </c>
      <c r="D3592" t="s">
        <v>90</v>
      </c>
      <c r="E3592" t="s">
        <v>7765</v>
      </c>
      <c r="F3592" t="str">
        <f>"00113244"</f>
        <v>00113244</v>
      </c>
      <c r="G3592" t="s">
        <v>82</v>
      </c>
      <c r="H3592" t="s">
        <v>20</v>
      </c>
      <c r="I3592">
        <v>1475</v>
      </c>
      <c r="J3592" t="s">
        <v>21</v>
      </c>
      <c r="K3592">
        <v>0</v>
      </c>
      <c r="L3592" t="s">
        <v>88</v>
      </c>
      <c r="M3592">
        <v>550</v>
      </c>
    </row>
    <row r="3593" spans="1:13">
      <c r="A3593">
        <v>3587</v>
      </c>
      <c r="B3593">
        <v>55785</v>
      </c>
      <c r="C3593" t="s">
        <v>7766</v>
      </c>
      <c r="D3593" t="s">
        <v>90</v>
      </c>
      <c r="E3593" t="s">
        <v>7767</v>
      </c>
      <c r="F3593" t="str">
        <f>"00360111"</f>
        <v>00360111</v>
      </c>
      <c r="G3593" t="s">
        <v>96</v>
      </c>
      <c r="H3593" t="s">
        <v>20</v>
      </c>
      <c r="I3593">
        <v>1474</v>
      </c>
      <c r="J3593" t="s">
        <v>21</v>
      </c>
      <c r="K3593">
        <v>0</v>
      </c>
      <c r="L3593" t="s">
        <v>83</v>
      </c>
      <c r="M3593">
        <v>1388</v>
      </c>
    </row>
    <row r="3594" spans="1:13">
      <c r="A3594">
        <v>3588</v>
      </c>
      <c r="B3594">
        <v>94726</v>
      </c>
      <c r="C3594" t="s">
        <v>7768</v>
      </c>
      <c r="D3594" t="s">
        <v>243</v>
      </c>
      <c r="E3594" t="s">
        <v>7769</v>
      </c>
      <c r="F3594" t="str">
        <f>"00388408"</f>
        <v>00388408</v>
      </c>
      <c r="G3594" t="s">
        <v>63</v>
      </c>
      <c r="H3594" t="s">
        <v>20</v>
      </c>
      <c r="I3594">
        <v>1576</v>
      </c>
      <c r="J3594" t="s">
        <v>21</v>
      </c>
      <c r="K3594">
        <v>0</v>
      </c>
      <c r="L3594" t="s">
        <v>35</v>
      </c>
      <c r="M3594">
        <v>1056</v>
      </c>
    </row>
    <row r="3595" spans="1:13">
      <c r="A3595">
        <v>3589</v>
      </c>
      <c r="B3595">
        <v>76755</v>
      </c>
      <c r="C3595" t="s">
        <v>7770</v>
      </c>
      <c r="D3595" t="s">
        <v>109</v>
      </c>
      <c r="E3595" t="s">
        <v>7771</v>
      </c>
      <c r="F3595" t="str">
        <f>"00398180"</f>
        <v>00398180</v>
      </c>
      <c r="G3595" t="s">
        <v>47</v>
      </c>
      <c r="H3595" t="s">
        <v>48</v>
      </c>
      <c r="I3595">
        <v>1623</v>
      </c>
      <c r="J3595" t="s">
        <v>21</v>
      </c>
      <c r="K3595">
        <v>0</v>
      </c>
      <c r="M3595">
        <v>1338</v>
      </c>
    </row>
    <row r="3596" spans="1:13">
      <c r="A3596">
        <v>3590</v>
      </c>
      <c r="B3596">
        <v>53150</v>
      </c>
      <c r="C3596" t="s">
        <v>7772</v>
      </c>
      <c r="D3596" t="s">
        <v>218</v>
      </c>
      <c r="E3596" t="s">
        <v>7773</v>
      </c>
      <c r="F3596" t="str">
        <f>"00252315"</f>
        <v>00252315</v>
      </c>
      <c r="G3596" t="s">
        <v>125</v>
      </c>
      <c r="H3596" t="s">
        <v>20</v>
      </c>
      <c r="I3596">
        <v>1507</v>
      </c>
      <c r="J3596" t="s">
        <v>21</v>
      </c>
      <c r="K3596">
        <v>0</v>
      </c>
      <c r="L3596" t="s">
        <v>35</v>
      </c>
      <c r="M3596">
        <v>1058</v>
      </c>
    </row>
    <row r="3597" spans="1:13">
      <c r="A3597">
        <v>3591</v>
      </c>
      <c r="B3597">
        <v>73766</v>
      </c>
      <c r="C3597" t="s">
        <v>7774</v>
      </c>
      <c r="D3597" t="s">
        <v>243</v>
      </c>
      <c r="E3597" t="s">
        <v>7775</v>
      </c>
      <c r="F3597" t="str">
        <f>"201302000048"</f>
        <v>201302000048</v>
      </c>
      <c r="G3597" t="s">
        <v>87</v>
      </c>
      <c r="H3597" t="s">
        <v>1671</v>
      </c>
      <c r="I3597">
        <v>1716</v>
      </c>
      <c r="J3597" t="s">
        <v>21</v>
      </c>
      <c r="K3597">
        <v>0</v>
      </c>
      <c r="L3597" t="s">
        <v>35</v>
      </c>
      <c r="M3597">
        <v>1050</v>
      </c>
    </row>
    <row r="3598" spans="1:13">
      <c r="A3598">
        <v>3592</v>
      </c>
      <c r="B3598">
        <v>48509</v>
      </c>
      <c r="C3598" t="s">
        <v>7776</v>
      </c>
      <c r="D3598" t="s">
        <v>76</v>
      </c>
      <c r="E3598" t="s">
        <v>7777</v>
      </c>
      <c r="F3598" t="str">
        <f>"00361145"</f>
        <v>00361145</v>
      </c>
      <c r="G3598" t="s">
        <v>47</v>
      </c>
      <c r="H3598" t="s">
        <v>48</v>
      </c>
      <c r="I3598">
        <v>1623</v>
      </c>
      <c r="J3598" t="s">
        <v>21</v>
      </c>
      <c r="K3598">
        <v>0</v>
      </c>
      <c r="M3598">
        <v>1365</v>
      </c>
    </row>
    <row r="3599" spans="1:13">
      <c r="A3599">
        <v>3593</v>
      </c>
      <c r="B3599">
        <v>110779</v>
      </c>
      <c r="C3599" t="s">
        <v>7776</v>
      </c>
      <c r="D3599" t="s">
        <v>80</v>
      </c>
      <c r="E3599" t="s">
        <v>7778</v>
      </c>
      <c r="F3599" t="str">
        <f>"00415619"</f>
        <v>00415619</v>
      </c>
      <c r="G3599" t="s">
        <v>211</v>
      </c>
      <c r="H3599" t="s">
        <v>48</v>
      </c>
      <c r="I3599">
        <v>1628</v>
      </c>
      <c r="J3599" t="s">
        <v>21</v>
      </c>
      <c r="K3599">
        <v>0</v>
      </c>
      <c r="L3599" t="s">
        <v>35</v>
      </c>
      <c r="M3599">
        <v>853</v>
      </c>
    </row>
    <row r="3600" spans="1:13">
      <c r="A3600">
        <v>3594</v>
      </c>
      <c r="B3600">
        <v>71721</v>
      </c>
      <c r="C3600" t="s">
        <v>7779</v>
      </c>
      <c r="D3600" t="s">
        <v>80</v>
      </c>
      <c r="E3600" t="s">
        <v>7780</v>
      </c>
      <c r="F3600" t="str">
        <f>"00399381"</f>
        <v>00399381</v>
      </c>
      <c r="G3600" t="s">
        <v>167</v>
      </c>
      <c r="H3600" t="s">
        <v>20</v>
      </c>
      <c r="I3600">
        <v>1486</v>
      </c>
      <c r="J3600" t="s">
        <v>21</v>
      </c>
      <c r="K3600">
        <v>0</v>
      </c>
      <c r="L3600" t="s">
        <v>35</v>
      </c>
      <c r="M3600">
        <v>1091</v>
      </c>
    </row>
    <row r="3601" spans="1:13">
      <c r="A3601">
        <v>3595</v>
      </c>
      <c r="B3601">
        <v>47019</v>
      </c>
      <c r="C3601" t="s">
        <v>7781</v>
      </c>
      <c r="D3601" t="s">
        <v>121</v>
      </c>
      <c r="E3601" t="s">
        <v>7782</v>
      </c>
      <c r="F3601" t="str">
        <f>"00206458"</f>
        <v>00206458</v>
      </c>
      <c r="G3601" t="s">
        <v>170</v>
      </c>
      <c r="H3601" t="s">
        <v>20</v>
      </c>
      <c r="I3601">
        <v>1412</v>
      </c>
      <c r="J3601" t="s">
        <v>21</v>
      </c>
      <c r="K3601">
        <v>0</v>
      </c>
      <c r="M3601">
        <v>1338</v>
      </c>
    </row>
    <row r="3602" spans="1:13">
      <c r="A3602">
        <v>3596</v>
      </c>
      <c r="B3602">
        <v>78398</v>
      </c>
      <c r="C3602" t="s">
        <v>7783</v>
      </c>
      <c r="D3602" t="s">
        <v>3178</v>
      </c>
      <c r="E3602" t="s">
        <v>7784</v>
      </c>
      <c r="F3602" t="str">
        <f>"00384623"</f>
        <v>00384623</v>
      </c>
      <c r="G3602" t="s">
        <v>520</v>
      </c>
      <c r="H3602" t="s">
        <v>20</v>
      </c>
      <c r="I3602">
        <v>1540</v>
      </c>
      <c r="J3602" t="s">
        <v>21</v>
      </c>
      <c r="K3602">
        <v>0</v>
      </c>
      <c r="M3602">
        <v>1578</v>
      </c>
    </row>
    <row r="3603" spans="1:13">
      <c r="A3603">
        <v>3597</v>
      </c>
      <c r="B3603">
        <v>89483</v>
      </c>
      <c r="C3603" t="s">
        <v>7785</v>
      </c>
      <c r="D3603" t="s">
        <v>321</v>
      </c>
      <c r="E3603" t="s">
        <v>7786</v>
      </c>
      <c r="F3603" t="str">
        <f>"00344158"</f>
        <v>00344158</v>
      </c>
      <c r="G3603" t="s">
        <v>2048</v>
      </c>
      <c r="H3603" t="s">
        <v>20</v>
      </c>
      <c r="I3603">
        <v>1633</v>
      </c>
      <c r="J3603" t="s">
        <v>21</v>
      </c>
      <c r="K3603">
        <v>6</v>
      </c>
      <c r="M3603">
        <v>1468</v>
      </c>
    </row>
    <row r="3604" spans="1:13">
      <c r="A3604">
        <v>3598</v>
      </c>
      <c r="B3604">
        <v>115522</v>
      </c>
      <c r="C3604" t="s">
        <v>7787</v>
      </c>
      <c r="D3604" t="s">
        <v>90</v>
      </c>
      <c r="E3604" t="s">
        <v>7788</v>
      </c>
      <c r="F3604" t="str">
        <f>"00421773"</f>
        <v>00421773</v>
      </c>
      <c r="G3604" t="s">
        <v>150</v>
      </c>
      <c r="H3604" t="s">
        <v>151</v>
      </c>
      <c r="I3604">
        <v>1699</v>
      </c>
      <c r="J3604" t="s">
        <v>21</v>
      </c>
      <c r="K3604">
        <v>0</v>
      </c>
      <c r="M3604">
        <v>1338</v>
      </c>
    </row>
    <row r="3605" spans="1:13">
      <c r="A3605">
        <v>3599</v>
      </c>
      <c r="B3605">
        <v>48035</v>
      </c>
      <c r="C3605" t="s">
        <v>7789</v>
      </c>
      <c r="D3605" t="s">
        <v>76</v>
      </c>
      <c r="E3605" t="s">
        <v>7790</v>
      </c>
      <c r="F3605" t="str">
        <f>"00321212"</f>
        <v>00321212</v>
      </c>
      <c r="G3605" t="s">
        <v>804</v>
      </c>
      <c r="H3605" t="s">
        <v>20</v>
      </c>
      <c r="I3605">
        <v>1483</v>
      </c>
      <c r="J3605" t="s">
        <v>21</v>
      </c>
      <c r="K3605">
        <v>0</v>
      </c>
      <c r="M3605">
        <v>1308</v>
      </c>
    </row>
    <row r="3606" spans="1:13">
      <c r="A3606">
        <v>3600</v>
      </c>
      <c r="B3606">
        <v>112537</v>
      </c>
      <c r="C3606" t="s">
        <v>7791</v>
      </c>
      <c r="D3606" t="s">
        <v>80</v>
      </c>
      <c r="E3606" t="s">
        <v>7792</v>
      </c>
      <c r="F3606" t="str">
        <f>"00390585"</f>
        <v>00390585</v>
      </c>
      <c r="G3606" t="s">
        <v>4039</v>
      </c>
      <c r="H3606" t="s">
        <v>2864</v>
      </c>
      <c r="I3606">
        <v>1346</v>
      </c>
      <c r="J3606" t="s">
        <v>21</v>
      </c>
      <c r="K3606">
        <v>7</v>
      </c>
      <c r="L3606" t="s">
        <v>35</v>
      </c>
      <c r="M3606">
        <v>786</v>
      </c>
    </row>
    <row r="3607" spans="1:13">
      <c r="A3607">
        <v>3601</v>
      </c>
      <c r="B3607">
        <v>64113</v>
      </c>
      <c r="C3607" t="s">
        <v>7791</v>
      </c>
      <c r="D3607" t="s">
        <v>391</v>
      </c>
      <c r="E3607" t="s">
        <v>7793</v>
      </c>
      <c r="F3607" t="str">
        <f>"00279351"</f>
        <v>00279351</v>
      </c>
      <c r="G3607" t="s">
        <v>365</v>
      </c>
      <c r="H3607" t="s">
        <v>366</v>
      </c>
      <c r="I3607">
        <v>1692</v>
      </c>
      <c r="J3607" t="s">
        <v>21</v>
      </c>
      <c r="K3607">
        <v>0</v>
      </c>
      <c r="M3607">
        <v>1388</v>
      </c>
    </row>
    <row r="3608" spans="1:13">
      <c r="A3608">
        <v>3602</v>
      </c>
      <c r="B3608">
        <v>66431</v>
      </c>
      <c r="C3608" t="s">
        <v>7794</v>
      </c>
      <c r="D3608" t="s">
        <v>163</v>
      </c>
      <c r="E3608" t="s">
        <v>7795</v>
      </c>
      <c r="F3608" t="str">
        <f>"00387658"</f>
        <v>00387658</v>
      </c>
      <c r="G3608" t="s">
        <v>437</v>
      </c>
      <c r="H3608" t="s">
        <v>20</v>
      </c>
      <c r="I3608">
        <v>1407</v>
      </c>
      <c r="J3608" t="s">
        <v>21</v>
      </c>
      <c r="K3608">
        <v>0</v>
      </c>
      <c r="M3608">
        <v>1438</v>
      </c>
    </row>
    <row r="3609" spans="1:13">
      <c r="A3609">
        <v>3603</v>
      </c>
      <c r="B3609">
        <v>94939</v>
      </c>
      <c r="C3609" t="s">
        <v>7794</v>
      </c>
      <c r="D3609" t="s">
        <v>121</v>
      </c>
      <c r="E3609" t="s">
        <v>7796</v>
      </c>
      <c r="F3609" t="str">
        <f>"00403551"</f>
        <v>00403551</v>
      </c>
      <c r="G3609" t="s">
        <v>96</v>
      </c>
      <c r="H3609" t="s">
        <v>20</v>
      </c>
      <c r="I3609">
        <v>1474</v>
      </c>
      <c r="J3609" t="s">
        <v>21</v>
      </c>
      <c r="K3609">
        <v>0</v>
      </c>
      <c r="M3609">
        <v>1588</v>
      </c>
    </row>
    <row r="3610" spans="1:13">
      <c r="A3610">
        <v>3604</v>
      </c>
      <c r="B3610">
        <v>92004</v>
      </c>
      <c r="C3610" t="s">
        <v>7797</v>
      </c>
      <c r="D3610" t="s">
        <v>180</v>
      </c>
      <c r="E3610" t="s">
        <v>7798</v>
      </c>
      <c r="F3610" t="str">
        <f>"00351515"</f>
        <v>00351515</v>
      </c>
      <c r="G3610" t="s">
        <v>883</v>
      </c>
      <c r="H3610" t="s">
        <v>270</v>
      </c>
      <c r="I3610">
        <v>1585</v>
      </c>
      <c r="J3610" t="s">
        <v>21</v>
      </c>
      <c r="K3610">
        <v>0</v>
      </c>
      <c r="L3610" t="s">
        <v>35</v>
      </c>
      <c r="M3610">
        <v>950</v>
      </c>
    </row>
    <row r="3611" spans="1:13">
      <c r="A3611">
        <v>3605</v>
      </c>
      <c r="B3611">
        <v>58323</v>
      </c>
      <c r="C3611" t="s">
        <v>7799</v>
      </c>
      <c r="D3611" t="s">
        <v>105</v>
      </c>
      <c r="E3611" t="s">
        <v>7800</v>
      </c>
      <c r="F3611" t="str">
        <f>"00030473"</f>
        <v>00030473</v>
      </c>
      <c r="G3611" t="s">
        <v>107</v>
      </c>
      <c r="H3611" t="s">
        <v>20</v>
      </c>
      <c r="I3611">
        <v>1472</v>
      </c>
      <c r="J3611" t="s">
        <v>21</v>
      </c>
      <c r="K3611">
        <v>0</v>
      </c>
      <c r="M3611">
        <v>1388</v>
      </c>
    </row>
    <row r="3612" spans="1:13">
      <c r="A3612">
        <v>3606</v>
      </c>
      <c r="B3612">
        <v>104705</v>
      </c>
      <c r="C3612" t="s">
        <v>7799</v>
      </c>
      <c r="D3612" t="s">
        <v>163</v>
      </c>
      <c r="E3612" t="s">
        <v>7801</v>
      </c>
      <c r="F3612" t="str">
        <f>"00391794"</f>
        <v>00391794</v>
      </c>
      <c r="G3612" t="s">
        <v>1869</v>
      </c>
      <c r="H3612" t="s">
        <v>535</v>
      </c>
      <c r="I3612">
        <v>1351</v>
      </c>
      <c r="J3612" t="s">
        <v>21</v>
      </c>
      <c r="K3612">
        <v>0</v>
      </c>
      <c r="M3612">
        <v>1688</v>
      </c>
    </row>
    <row r="3613" spans="1:13">
      <c r="A3613">
        <v>3607</v>
      </c>
      <c r="B3613">
        <v>78417</v>
      </c>
      <c r="C3613" t="s">
        <v>7802</v>
      </c>
      <c r="D3613" t="s">
        <v>288</v>
      </c>
      <c r="E3613" t="s">
        <v>7803</v>
      </c>
      <c r="F3613" t="str">
        <f>"00409425"</f>
        <v>00409425</v>
      </c>
      <c r="G3613" t="s">
        <v>7313</v>
      </c>
      <c r="H3613" t="s">
        <v>1610</v>
      </c>
      <c r="I3613">
        <v>1311</v>
      </c>
      <c r="J3613" t="s">
        <v>21</v>
      </c>
      <c r="K3613">
        <v>6</v>
      </c>
      <c r="L3613" t="s">
        <v>35</v>
      </c>
      <c r="M3613">
        <v>1070</v>
      </c>
    </row>
    <row r="3614" spans="1:13">
      <c r="A3614">
        <v>3608</v>
      </c>
      <c r="B3614">
        <v>104833</v>
      </c>
      <c r="C3614" t="s">
        <v>7804</v>
      </c>
      <c r="D3614" t="s">
        <v>94</v>
      </c>
      <c r="E3614" t="s">
        <v>7805</v>
      </c>
      <c r="F3614" t="str">
        <f>"00244416"</f>
        <v>00244416</v>
      </c>
      <c r="G3614" t="s">
        <v>150</v>
      </c>
      <c r="H3614" t="s">
        <v>151</v>
      </c>
      <c r="I3614">
        <v>1699</v>
      </c>
      <c r="J3614" t="s">
        <v>21</v>
      </c>
      <c r="K3614">
        <v>0</v>
      </c>
      <c r="M3614">
        <v>1328</v>
      </c>
    </row>
    <row r="3615" spans="1:13">
      <c r="A3615">
        <v>3609</v>
      </c>
      <c r="B3615">
        <v>86007</v>
      </c>
      <c r="C3615" t="s">
        <v>7804</v>
      </c>
      <c r="D3615" t="s">
        <v>205</v>
      </c>
      <c r="E3615" t="s">
        <v>7806</v>
      </c>
      <c r="F3615" t="str">
        <f>"00258832"</f>
        <v>00258832</v>
      </c>
      <c r="G3615" t="s">
        <v>70</v>
      </c>
      <c r="H3615" t="s">
        <v>71</v>
      </c>
      <c r="I3615">
        <v>1702</v>
      </c>
      <c r="J3615" t="s">
        <v>21</v>
      </c>
      <c r="K3615">
        <v>0</v>
      </c>
      <c r="L3615" t="s">
        <v>35</v>
      </c>
      <c r="M3615">
        <v>1008</v>
      </c>
    </row>
    <row r="3616" spans="1:13">
      <c r="A3616">
        <v>3610</v>
      </c>
      <c r="B3616">
        <v>110737</v>
      </c>
      <c r="C3616" t="s">
        <v>7804</v>
      </c>
      <c r="D3616" t="s">
        <v>914</v>
      </c>
      <c r="E3616" t="s">
        <v>7807</v>
      </c>
      <c r="F3616" t="str">
        <f>"00364952"</f>
        <v>00364952</v>
      </c>
      <c r="G3616" t="s">
        <v>107</v>
      </c>
      <c r="H3616" t="s">
        <v>20</v>
      </c>
      <c r="I3616">
        <v>1472</v>
      </c>
      <c r="J3616" t="s">
        <v>21</v>
      </c>
      <c r="K3616">
        <v>0</v>
      </c>
      <c r="L3616" t="s">
        <v>88</v>
      </c>
      <c r="M3616">
        <v>572</v>
      </c>
    </row>
    <row r="3617" spans="1:13">
      <c r="A3617">
        <v>3611</v>
      </c>
      <c r="B3617">
        <v>46757</v>
      </c>
      <c r="C3617" t="s">
        <v>7804</v>
      </c>
      <c r="D3617" t="s">
        <v>598</v>
      </c>
      <c r="E3617" t="str">
        <f>"003325"</f>
        <v>003325</v>
      </c>
      <c r="F3617" t="str">
        <f>"00328019"</f>
        <v>00328019</v>
      </c>
      <c r="G3617" t="s">
        <v>19</v>
      </c>
      <c r="H3617" t="s">
        <v>20</v>
      </c>
      <c r="I3617">
        <v>1531</v>
      </c>
      <c r="J3617" t="s">
        <v>21</v>
      </c>
      <c r="K3617">
        <v>0</v>
      </c>
      <c r="L3617" t="s">
        <v>35</v>
      </c>
      <c r="M3617">
        <v>1035</v>
      </c>
    </row>
    <row r="3618" spans="1:13">
      <c r="A3618">
        <v>3612</v>
      </c>
      <c r="B3618">
        <v>60308</v>
      </c>
      <c r="C3618" t="s">
        <v>7804</v>
      </c>
      <c r="D3618" t="s">
        <v>1327</v>
      </c>
      <c r="E3618" t="s">
        <v>7808</v>
      </c>
      <c r="F3618" t="str">
        <f>"00356281"</f>
        <v>00356281</v>
      </c>
      <c r="G3618" t="s">
        <v>240</v>
      </c>
      <c r="H3618" t="s">
        <v>20</v>
      </c>
      <c r="I3618">
        <v>1535</v>
      </c>
      <c r="J3618" t="s">
        <v>21</v>
      </c>
      <c r="K3618">
        <v>6</v>
      </c>
      <c r="M3618">
        <v>1288</v>
      </c>
    </row>
    <row r="3619" spans="1:13">
      <c r="A3619">
        <v>3613</v>
      </c>
      <c r="B3619">
        <v>112028</v>
      </c>
      <c r="C3619" t="s">
        <v>7809</v>
      </c>
      <c r="D3619" t="s">
        <v>94</v>
      </c>
      <c r="E3619" t="s">
        <v>7810</v>
      </c>
      <c r="F3619" t="str">
        <f>"00399659"</f>
        <v>00399659</v>
      </c>
      <c r="G3619" t="s">
        <v>107</v>
      </c>
      <c r="H3619" t="s">
        <v>20</v>
      </c>
      <c r="I3619">
        <v>1472</v>
      </c>
      <c r="J3619" t="s">
        <v>21</v>
      </c>
      <c r="K3619">
        <v>0</v>
      </c>
      <c r="L3619" t="s">
        <v>83</v>
      </c>
      <c r="M3619">
        <v>1228</v>
      </c>
    </row>
    <row r="3620" spans="1:13">
      <c r="A3620">
        <v>3614</v>
      </c>
      <c r="B3620">
        <v>102372</v>
      </c>
      <c r="C3620" t="s">
        <v>7811</v>
      </c>
      <c r="D3620" t="s">
        <v>102</v>
      </c>
      <c r="E3620" t="s">
        <v>7812</v>
      </c>
      <c r="F3620" t="str">
        <f>"00387539"</f>
        <v>00387539</v>
      </c>
      <c r="G3620" t="s">
        <v>107</v>
      </c>
      <c r="H3620" t="s">
        <v>20</v>
      </c>
      <c r="I3620">
        <v>1472</v>
      </c>
      <c r="J3620" t="s">
        <v>21</v>
      </c>
      <c r="K3620">
        <v>0</v>
      </c>
      <c r="L3620" t="s">
        <v>35</v>
      </c>
      <c r="M3620">
        <v>908</v>
      </c>
    </row>
    <row r="3621" spans="1:13">
      <c r="A3621">
        <v>3615</v>
      </c>
      <c r="B3621">
        <v>108528</v>
      </c>
      <c r="C3621" t="s">
        <v>7813</v>
      </c>
      <c r="D3621" t="s">
        <v>243</v>
      </c>
      <c r="E3621" t="s">
        <v>7814</v>
      </c>
      <c r="F3621" t="str">
        <f>"00418912"</f>
        <v>00418912</v>
      </c>
      <c r="G3621" t="s">
        <v>211</v>
      </c>
      <c r="H3621" t="s">
        <v>48</v>
      </c>
      <c r="I3621">
        <v>1628</v>
      </c>
      <c r="J3621" t="s">
        <v>21</v>
      </c>
      <c r="K3621">
        <v>0</v>
      </c>
      <c r="M3621">
        <v>1528</v>
      </c>
    </row>
    <row r="3622" spans="1:13">
      <c r="A3622">
        <v>3616</v>
      </c>
      <c r="B3622">
        <v>101227</v>
      </c>
      <c r="C3622" t="s">
        <v>7815</v>
      </c>
      <c r="D3622" t="s">
        <v>102</v>
      </c>
      <c r="E3622" t="s">
        <v>7816</v>
      </c>
      <c r="F3622" t="str">
        <f>"00282651"</f>
        <v>00282651</v>
      </c>
      <c r="G3622" t="s">
        <v>87</v>
      </c>
      <c r="H3622" t="s">
        <v>20</v>
      </c>
      <c r="I3622">
        <v>1436</v>
      </c>
      <c r="J3622" t="s">
        <v>21</v>
      </c>
      <c r="K3622">
        <v>0</v>
      </c>
      <c r="M3622">
        <v>1428</v>
      </c>
    </row>
    <row r="3623" spans="1:13">
      <c r="A3623">
        <v>3617</v>
      </c>
      <c r="B3623">
        <v>70018</v>
      </c>
      <c r="C3623" t="s">
        <v>7817</v>
      </c>
      <c r="D3623" t="s">
        <v>94</v>
      </c>
      <c r="E3623" t="s">
        <v>7818</v>
      </c>
      <c r="F3623" t="str">
        <f>"201206000149"</f>
        <v>201206000149</v>
      </c>
      <c r="G3623" t="s">
        <v>47</v>
      </c>
      <c r="H3623" t="s">
        <v>48</v>
      </c>
      <c r="I3623">
        <v>1623</v>
      </c>
      <c r="J3623" t="s">
        <v>21</v>
      </c>
      <c r="K3623">
        <v>0</v>
      </c>
      <c r="L3623" t="s">
        <v>35</v>
      </c>
      <c r="M3623">
        <v>975</v>
      </c>
    </row>
    <row r="3624" spans="1:13">
      <c r="A3624">
        <v>3618</v>
      </c>
      <c r="B3624">
        <v>66765</v>
      </c>
      <c r="C3624" t="s">
        <v>7819</v>
      </c>
      <c r="D3624" t="s">
        <v>198</v>
      </c>
      <c r="E3624" t="s">
        <v>7820</v>
      </c>
      <c r="F3624" t="str">
        <f>"00393361"</f>
        <v>00393361</v>
      </c>
      <c r="G3624" t="s">
        <v>2072</v>
      </c>
      <c r="H3624" t="s">
        <v>20</v>
      </c>
      <c r="I3624">
        <v>1459</v>
      </c>
      <c r="J3624" t="s">
        <v>21</v>
      </c>
      <c r="K3624">
        <v>0</v>
      </c>
      <c r="M3624">
        <v>2128</v>
      </c>
    </row>
    <row r="3625" spans="1:13">
      <c r="A3625">
        <v>3619</v>
      </c>
      <c r="B3625">
        <v>89289</v>
      </c>
      <c r="C3625" t="s">
        <v>7819</v>
      </c>
      <c r="D3625" t="s">
        <v>238</v>
      </c>
      <c r="E3625" t="s">
        <v>7821</v>
      </c>
      <c r="F3625" t="str">
        <f>"00401608"</f>
        <v>00401608</v>
      </c>
      <c r="G3625" t="s">
        <v>325</v>
      </c>
      <c r="H3625" t="s">
        <v>326</v>
      </c>
      <c r="I3625">
        <v>1592</v>
      </c>
      <c r="J3625" t="s">
        <v>21</v>
      </c>
      <c r="K3625">
        <v>0</v>
      </c>
      <c r="L3625" t="s">
        <v>88</v>
      </c>
      <c r="M3625">
        <v>608</v>
      </c>
    </row>
    <row r="3626" spans="1:13">
      <c r="A3626">
        <v>3620</v>
      </c>
      <c r="B3626">
        <v>116434</v>
      </c>
      <c r="C3626" t="s">
        <v>7822</v>
      </c>
      <c r="D3626" t="s">
        <v>102</v>
      </c>
      <c r="E3626" t="s">
        <v>7823</v>
      </c>
      <c r="F3626" t="str">
        <f>"00049395"</f>
        <v>00049395</v>
      </c>
      <c r="G3626" t="s">
        <v>2369</v>
      </c>
      <c r="H3626" t="s">
        <v>241</v>
      </c>
      <c r="I3626">
        <v>1364</v>
      </c>
      <c r="J3626" t="s">
        <v>21</v>
      </c>
      <c r="K3626">
        <v>6</v>
      </c>
      <c r="L3626" t="s">
        <v>35</v>
      </c>
      <c r="M3626">
        <v>1087</v>
      </c>
    </row>
    <row r="3627" spans="1:13">
      <c r="A3627">
        <v>3621</v>
      </c>
      <c r="B3627">
        <v>68224</v>
      </c>
      <c r="C3627" t="s">
        <v>7824</v>
      </c>
      <c r="D3627" t="s">
        <v>180</v>
      </c>
      <c r="E3627" t="s">
        <v>7825</v>
      </c>
      <c r="F3627" t="str">
        <f>"00404577"</f>
        <v>00404577</v>
      </c>
      <c r="G3627" t="s">
        <v>1263</v>
      </c>
      <c r="H3627" t="s">
        <v>20</v>
      </c>
      <c r="I3627">
        <v>1542</v>
      </c>
      <c r="J3627" t="s">
        <v>21</v>
      </c>
      <c r="K3627">
        <v>6</v>
      </c>
      <c r="M3627">
        <v>1588</v>
      </c>
    </row>
    <row r="3628" spans="1:13">
      <c r="A3628">
        <v>3622</v>
      </c>
      <c r="B3628">
        <v>48533</v>
      </c>
      <c r="C3628" t="s">
        <v>7826</v>
      </c>
      <c r="D3628" t="s">
        <v>80</v>
      </c>
      <c r="E3628" t="s">
        <v>7827</v>
      </c>
      <c r="F3628" t="str">
        <f>"201406009581"</f>
        <v>201406009581</v>
      </c>
      <c r="G3628" t="s">
        <v>1160</v>
      </c>
      <c r="H3628" t="s">
        <v>20</v>
      </c>
      <c r="I3628">
        <v>1424</v>
      </c>
      <c r="J3628" t="s">
        <v>21</v>
      </c>
      <c r="K3628">
        <v>0</v>
      </c>
      <c r="M3628">
        <v>1588</v>
      </c>
    </row>
    <row r="3629" spans="1:13">
      <c r="A3629">
        <v>3623</v>
      </c>
      <c r="B3629">
        <v>108506</v>
      </c>
      <c r="C3629" t="s">
        <v>7826</v>
      </c>
      <c r="D3629" t="s">
        <v>7653</v>
      </c>
      <c r="E3629" t="s">
        <v>7828</v>
      </c>
      <c r="F3629" t="str">
        <f>"201511000013"</f>
        <v>201511000013</v>
      </c>
      <c r="G3629" t="s">
        <v>1742</v>
      </c>
      <c r="H3629" t="s">
        <v>751</v>
      </c>
      <c r="I3629">
        <v>1322</v>
      </c>
      <c r="J3629" t="s">
        <v>21</v>
      </c>
      <c r="K3629">
        <v>0</v>
      </c>
      <c r="M3629">
        <v>1555</v>
      </c>
    </row>
    <row r="3630" spans="1:13">
      <c r="A3630">
        <v>3624</v>
      </c>
      <c r="B3630">
        <v>76497</v>
      </c>
      <c r="C3630" t="s">
        <v>7826</v>
      </c>
      <c r="D3630" t="s">
        <v>163</v>
      </c>
      <c r="E3630" t="s">
        <v>7829</v>
      </c>
      <c r="F3630" t="str">
        <f>"00399768"</f>
        <v>00399768</v>
      </c>
      <c r="G3630" t="s">
        <v>258</v>
      </c>
      <c r="H3630" t="s">
        <v>20</v>
      </c>
      <c r="I3630">
        <v>1484</v>
      </c>
      <c r="J3630" t="s">
        <v>21</v>
      </c>
      <c r="K3630">
        <v>0</v>
      </c>
      <c r="L3630" t="s">
        <v>35</v>
      </c>
      <c r="M3630">
        <v>875</v>
      </c>
    </row>
    <row r="3631" spans="1:13">
      <c r="A3631">
        <v>3625</v>
      </c>
      <c r="B3631">
        <v>94647</v>
      </c>
      <c r="C3631" t="s">
        <v>7830</v>
      </c>
      <c r="D3631" t="s">
        <v>914</v>
      </c>
      <c r="E3631" t="s">
        <v>7831</v>
      </c>
      <c r="F3631" t="str">
        <f>"00126034"</f>
        <v>00126034</v>
      </c>
      <c r="G3631" t="s">
        <v>284</v>
      </c>
      <c r="H3631" t="s">
        <v>270</v>
      </c>
      <c r="I3631">
        <v>1586</v>
      </c>
      <c r="J3631" t="s">
        <v>21</v>
      </c>
      <c r="K3631">
        <v>0</v>
      </c>
      <c r="L3631" t="s">
        <v>83</v>
      </c>
      <c r="M3631">
        <v>1312</v>
      </c>
    </row>
    <row r="3632" spans="1:13">
      <c r="A3632">
        <v>3626</v>
      </c>
      <c r="B3632">
        <v>76954</v>
      </c>
      <c r="C3632" t="s">
        <v>7830</v>
      </c>
      <c r="D3632" t="s">
        <v>243</v>
      </c>
      <c r="E3632" t="s">
        <v>7832</v>
      </c>
      <c r="F3632" t="str">
        <f>"00376132"</f>
        <v>00376132</v>
      </c>
      <c r="G3632" t="s">
        <v>47</v>
      </c>
      <c r="H3632" t="s">
        <v>48</v>
      </c>
      <c r="I3632">
        <v>1623</v>
      </c>
      <c r="J3632" t="s">
        <v>21</v>
      </c>
      <c r="K3632">
        <v>0</v>
      </c>
      <c r="L3632" t="s">
        <v>35</v>
      </c>
      <c r="M3632">
        <v>858</v>
      </c>
    </row>
    <row r="3633" spans="1:13">
      <c r="A3633">
        <v>3627</v>
      </c>
      <c r="B3633">
        <v>104331</v>
      </c>
      <c r="C3633" t="s">
        <v>7833</v>
      </c>
      <c r="D3633" t="s">
        <v>105</v>
      </c>
      <c r="E3633" t="s">
        <v>7834</v>
      </c>
      <c r="F3633" t="str">
        <f>"00196521"</f>
        <v>00196521</v>
      </c>
      <c r="G3633" t="s">
        <v>1079</v>
      </c>
      <c r="H3633" t="s">
        <v>20</v>
      </c>
      <c r="I3633">
        <v>1433</v>
      </c>
      <c r="J3633" t="s">
        <v>21</v>
      </c>
      <c r="K3633">
        <v>0</v>
      </c>
      <c r="L3633" t="s">
        <v>112</v>
      </c>
      <c r="M3633">
        <v>900</v>
      </c>
    </row>
    <row r="3634" spans="1:13">
      <c r="A3634">
        <v>3628</v>
      </c>
      <c r="B3634">
        <v>68253</v>
      </c>
      <c r="C3634" t="s">
        <v>7835</v>
      </c>
      <c r="D3634" t="s">
        <v>628</v>
      </c>
      <c r="E3634" t="s">
        <v>7836</v>
      </c>
      <c r="F3634" t="str">
        <f>"201511034243"</f>
        <v>201511034243</v>
      </c>
      <c r="G3634" t="s">
        <v>2768</v>
      </c>
      <c r="H3634" t="s">
        <v>20</v>
      </c>
      <c r="I3634">
        <v>1409</v>
      </c>
      <c r="J3634" t="s">
        <v>21</v>
      </c>
      <c r="K3634">
        <v>0</v>
      </c>
      <c r="M3634">
        <v>1518</v>
      </c>
    </row>
    <row r="3635" spans="1:13">
      <c r="A3635">
        <v>3629</v>
      </c>
      <c r="B3635">
        <v>48548</v>
      </c>
      <c r="C3635" t="s">
        <v>7837</v>
      </c>
      <c r="D3635" t="s">
        <v>102</v>
      </c>
      <c r="E3635" t="s">
        <v>7838</v>
      </c>
      <c r="F3635" t="str">
        <f>"201511004632"</f>
        <v>201511004632</v>
      </c>
      <c r="G3635" t="s">
        <v>150</v>
      </c>
      <c r="H3635" t="s">
        <v>151</v>
      </c>
      <c r="I3635">
        <v>1699</v>
      </c>
      <c r="J3635" t="s">
        <v>21</v>
      </c>
      <c r="K3635">
        <v>0</v>
      </c>
      <c r="M3635">
        <v>1398</v>
      </c>
    </row>
    <row r="3636" spans="1:13">
      <c r="A3636">
        <v>3630</v>
      </c>
      <c r="B3636">
        <v>55171</v>
      </c>
      <c r="C3636" t="s">
        <v>7839</v>
      </c>
      <c r="D3636" t="s">
        <v>180</v>
      </c>
      <c r="E3636" t="s">
        <v>7840</v>
      </c>
      <c r="F3636" t="str">
        <f>"00362132"</f>
        <v>00362132</v>
      </c>
      <c r="G3636" t="s">
        <v>365</v>
      </c>
      <c r="H3636" t="s">
        <v>366</v>
      </c>
      <c r="I3636">
        <v>1692</v>
      </c>
      <c r="J3636" t="s">
        <v>21</v>
      </c>
      <c r="K3636">
        <v>0</v>
      </c>
      <c r="L3636" t="s">
        <v>83</v>
      </c>
      <c r="M3636">
        <v>1228</v>
      </c>
    </row>
    <row r="3637" spans="1:13">
      <c r="A3637">
        <v>3631</v>
      </c>
      <c r="B3637">
        <v>59882</v>
      </c>
      <c r="C3637" t="s">
        <v>7841</v>
      </c>
      <c r="D3637" t="s">
        <v>2130</v>
      </c>
      <c r="E3637" t="s">
        <v>7842</v>
      </c>
      <c r="F3637" t="str">
        <f>"201511023763"</f>
        <v>201511023763</v>
      </c>
      <c r="G3637" t="s">
        <v>82</v>
      </c>
      <c r="H3637" t="s">
        <v>20</v>
      </c>
      <c r="I3637">
        <v>1475</v>
      </c>
      <c r="J3637" t="s">
        <v>21</v>
      </c>
      <c r="K3637">
        <v>0</v>
      </c>
      <c r="M3637">
        <v>1428</v>
      </c>
    </row>
    <row r="3638" spans="1:13">
      <c r="A3638">
        <v>3632</v>
      </c>
      <c r="B3638">
        <v>112431</v>
      </c>
      <c r="C3638" t="s">
        <v>7841</v>
      </c>
      <c r="D3638" t="s">
        <v>566</v>
      </c>
      <c r="E3638" t="s">
        <v>7843</v>
      </c>
      <c r="F3638" t="str">
        <f>"00407838"</f>
        <v>00407838</v>
      </c>
      <c r="G3638" t="s">
        <v>211</v>
      </c>
      <c r="H3638" t="s">
        <v>48</v>
      </c>
      <c r="I3638">
        <v>1628</v>
      </c>
      <c r="J3638" t="s">
        <v>21</v>
      </c>
      <c r="K3638">
        <v>0</v>
      </c>
      <c r="M3638">
        <v>1556</v>
      </c>
    </row>
    <row r="3639" spans="1:13">
      <c r="A3639">
        <v>3633</v>
      </c>
      <c r="B3639">
        <v>76972</v>
      </c>
      <c r="C3639" t="s">
        <v>7841</v>
      </c>
      <c r="D3639" t="s">
        <v>655</v>
      </c>
      <c r="E3639" t="s">
        <v>7844</v>
      </c>
      <c r="F3639" t="str">
        <f>"00383280"</f>
        <v>00383280</v>
      </c>
      <c r="G3639" t="s">
        <v>488</v>
      </c>
      <c r="H3639" t="s">
        <v>20</v>
      </c>
      <c r="I3639">
        <v>1482</v>
      </c>
      <c r="J3639" t="s">
        <v>21</v>
      </c>
      <c r="K3639">
        <v>0</v>
      </c>
      <c r="L3639" t="s">
        <v>35</v>
      </c>
      <c r="M3639">
        <v>902</v>
      </c>
    </row>
    <row r="3640" spans="1:13">
      <c r="A3640">
        <v>3634</v>
      </c>
      <c r="B3640">
        <v>107539</v>
      </c>
      <c r="C3640" t="s">
        <v>7845</v>
      </c>
      <c r="D3640" t="s">
        <v>98</v>
      </c>
      <c r="E3640" t="s">
        <v>7846</v>
      </c>
      <c r="F3640" t="str">
        <f>"00404596"</f>
        <v>00404596</v>
      </c>
      <c r="G3640" t="s">
        <v>3280</v>
      </c>
      <c r="H3640" t="s">
        <v>20</v>
      </c>
      <c r="I3640">
        <v>1557</v>
      </c>
      <c r="J3640" t="s">
        <v>21</v>
      </c>
      <c r="K3640">
        <v>6</v>
      </c>
      <c r="L3640" t="s">
        <v>35</v>
      </c>
      <c r="M3640">
        <v>1304</v>
      </c>
    </row>
    <row r="3641" spans="1:13">
      <c r="A3641">
        <v>3635</v>
      </c>
      <c r="B3641">
        <v>52891</v>
      </c>
      <c r="C3641" t="s">
        <v>7847</v>
      </c>
      <c r="D3641" t="s">
        <v>76</v>
      </c>
      <c r="E3641" t="s">
        <v>7848</v>
      </c>
      <c r="F3641" t="str">
        <f>"00227253"</f>
        <v>00227253</v>
      </c>
      <c r="G3641" t="s">
        <v>96</v>
      </c>
      <c r="H3641" t="s">
        <v>20</v>
      </c>
      <c r="I3641">
        <v>1474</v>
      </c>
      <c r="J3641" t="s">
        <v>21</v>
      </c>
      <c r="K3641">
        <v>0</v>
      </c>
      <c r="M3641">
        <v>1588</v>
      </c>
    </row>
    <row r="3642" spans="1:13">
      <c r="A3642">
        <v>3636</v>
      </c>
      <c r="B3642">
        <v>65722</v>
      </c>
      <c r="C3642" t="s">
        <v>7847</v>
      </c>
      <c r="D3642" t="s">
        <v>76</v>
      </c>
      <c r="E3642" t="s">
        <v>7849</v>
      </c>
      <c r="F3642" t="str">
        <f>"00275198"</f>
        <v>00275198</v>
      </c>
      <c r="G3642" t="s">
        <v>1445</v>
      </c>
      <c r="H3642" t="s">
        <v>535</v>
      </c>
      <c r="I3642">
        <v>1665</v>
      </c>
      <c r="J3642" t="s">
        <v>21</v>
      </c>
      <c r="K3642">
        <v>6</v>
      </c>
      <c r="L3642" t="s">
        <v>35</v>
      </c>
      <c r="M3642">
        <v>908</v>
      </c>
    </row>
    <row r="3643" spans="1:13">
      <c r="A3643">
        <v>3637</v>
      </c>
      <c r="B3643">
        <v>112679</v>
      </c>
      <c r="C3643" t="s">
        <v>7847</v>
      </c>
      <c r="D3643" t="s">
        <v>102</v>
      </c>
      <c r="E3643" t="s">
        <v>7850</v>
      </c>
      <c r="F3643" t="str">
        <f>"00226223"</f>
        <v>00226223</v>
      </c>
      <c r="G3643" t="s">
        <v>100</v>
      </c>
      <c r="H3643" t="s">
        <v>20</v>
      </c>
      <c r="I3643">
        <v>1468</v>
      </c>
      <c r="J3643" t="s">
        <v>21</v>
      </c>
      <c r="K3643">
        <v>0</v>
      </c>
      <c r="L3643" t="s">
        <v>112</v>
      </c>
      <c r="M3643">
        <v>1021</v>
      </c>
    </row>
    <row r="3644" spans="1:13">
      <c r="A3644">
        <v>3638</v>
      </c>
      <c r="B3644">
        <v>98827</v>
      </c>
      <c r="C3644" t="s">
        <v>7851</v>
      </c>
      <c r="D3644" t="s">
        <v>121</v>
      </c>
      <c r="E3644" t="s">
        <v>7852</v>
      </c>
      <c r="F3644" t="str">
        <f>"00357768"</f>
        <v>00357768</v>
      </c>
      <c r="G3644" t="s">
        <v>70</v>
      </c>
      <c r="H3644" t="s">
        <v>71</v>
      </c>
      <c r="I3644">
        <v>1702</v>
      </c>
      <c r="J3644" t="s">
        <v>21</v>
      </c>
      <c r="K3644">
        <v>0</v>
      </c>
      <c r="L3644" t="s">
        <v>35</v>
      </c>
      <c r="M3644">
        <v>900</v>
      </c>
    </row>
    <row r="3645" spans="1:13">
      <c r="A3645">
        <v>3639</v>
      </c>
      <c r="B3645">
        <v>58738</v>
      </c>
      <c r="C3645" t="s">
        <v>7853</v>
      </c>
      <c r="D3645" t="s">
        <v>94</v>
      </c>
      <c r="E3645" t="s">
        <v>7854</v>
      </c>
      <c r="F3645" t="str">
        <f>"00247921"</f>
        <v>00247921</v>
      </c>
      <c r="G3645" t="s">
        <v>626</v>
      </c>
      <c r="H3645" t="s">
        <v>234</v>
      </c>
      <c r="I3645">
        <v>1327</v>
      </c>
      <c r="J3645" t="s">
        <v>21</v>
      </c>
      <c r="K3645">
        <v>0</v>
      </c>
      <c r="L3645" t="s">
        <v>35</v>
      </c>
      <c r="M3645">
        <v>1300</v>
      </c>
    </row>
    <row r="3646" spans="1:13">
      <c r="A3646">
        <v>3640</v>
      </c>
      <c r="B3646">
        <v>116444</v>
      </c>
      <c r="C3646" t="s">
        <v>7853</v>
      </c>
      <c r="D3646" t="s">
        <v>109</v>
      </c>
      <c r="E3646" t="s">
        <v>7855</v>
      </c>
      <c r="F3646" t="str">
        <f>"00415561"</f>
        <v>00415561</v>
      </c>
      <c r="G3646" t="s">
        <v>1682</v>
      </c>
      <c r="H3646" t="s">
        <v>241</v>
      </c>
      <c r="I3646">
        <v>1363</v>
      </c>
      <c r="J3646" t="s">
        <v>21</v>
      </c>
      <c r="K3646">
        <v>0</v>
      </c>
      <c r="L3646" t="s">
        <v>35</v>
      </c>
      <c r="M3646">
        <v>985</v>
      </c>
    </row>
    <row r="3647" spans="1:13">
      <c r="A3647">
        <v>3641</v>
      </c>
      <c r="B3647">
        <v>82172</v>
      </c>
      <c r="C3647" t="s">
        <v>7856</v>
      </c>
      <c r="D3647" t="s">
        <v>163</v>
      </c>
      <c r="E3647" t="s">
        <v>7857</v>
      </c>
      <c r="F3647" t="str">
        <f>"201511043030"</f>
        <v>201511043030</v>
      </c>
      <c r="G3647" t="s">
        <v>1869</v>
      </c>
      <c r="H3647" t="s">
        <v>20</v>
      </c>
      <c r="I3647">
        <v>1473</v>
      </c>
      <c r="J3647" t="s">
        <v>21</v>
      </c>
      <c r="K3647">
        <v>0</v>
      </c>
      <c r="L3647" t="s">
        <v>35</v>
      </c>
      <c r="M3647">
        <v>1000</v>
      </c>
    </row>
    <row r="3648" spans="1:13">
      <c r="A3648">
        <v>3642</v>
      </c>
      <c r="B3648">
        <v>79349</v>
      </c>
      <c r="C3648" t="s">
        <v>7858</v>
      </c>
      <c r="D3648" t="s">
        <v>76</v>
      </c>
      <c r="E3648" t="s">
        <v>7859</v>
      </c>
      <c r="F3648" t="str">
        <f>"00395721"</f>
        <v>00395721</v>
      </c>
      <c r="G3648" t="s">
        <v>488</v>
      </c>
      <c r="H3648" t="s">
        <v>20</v>
      </c>
      <c r="I3648">
        <v>1482</v>
      </c>
      <c r="J3648" t="s">
        <v>21</v>
      </c>
      <c r="K3648">
        <v>0</v>
      </c>
      <c r="L3648" t="s">
        <v>35</v>
      </c>
      <c r="M3648">
        <v>1000</v>
      </c>
    </row>
    <row r="3649" spans="1:13">
      <c r="A3649">
        <v>3643</v>
      </c>
      <c r="B3649">
        <v>98177</v>
      </c>
      <c r="C3649" t="s">
        <v>7860</v>
      </c>
      <c r="D3649" t="s">
        <v>80</v>
      </c>
      <c r="E3649" t="s">
        <v>7861</v>
      </c>
      <c r="F3649" t="str">
        <f>"00347631"</f>
        <v>00347631</v>
      </c>
      <c r="G3649" t="s">
        <v>299</v>
      </c>
      <c r="H3649" t="s">
        <v>20</v>
      </c>
      <c r="I3649">
        <v>1490</v>
      </c>
      <c r="J3649" t="s">
        <v>21</v>
      </c>
      <c r="K3649">
        <v>0</v>
      </c>
      <c r="L3649" t="s">
        <v>83</v>
      </c>
      <c r="M3649">
        <v>1228</v>
      </c>
    </row>
    <row r="3650" spans="1:13">
      <c r="A3650">
        <v>3644</v>
      </c>
      <c r="B3650">
        <v>77355</v>
      </c>
      <c r="C3650" t="s">
        <v>7862</v>
      </c>
      <c r="D3650" t="s">
        <v>145</v>
      </c>
      <c r="E3650" t="s">
        <v>7863</v>
      </c>
      <c r="F3650" t="str">
        <f>"00415267"</f>
        <v>00415267</v>
      </c>
      <c r="G3650" t="s">
        <v>531</v>
      </c>
      <c r="H3650" t="s">
        <v>20</v>
      </c>
      <c r="I3650">
        <v>1445</v>
      </c>
      <c r="J3650" t="s">
        <v>21</v>
      </c>
      <c r="K3650">
        <v>0</v>
      </c>
      <c r="L3650" t="s">
        <v>35</v>
      </c>
      <c r="M3650">
        <v>1108</v>
      </c>
    </row>
    <row r="3651" spans="1:13">
      <c r="A3651">
        <v>3645</v>
      </c>
      <c r="B3651">
        <v>103614</v>
      </c>
      <c r="C3651" t="s">
        <v>7864</v>
      </c>
      <c r="D3651" t="s">
        <v>90</v>
      </c>
      <c r="E3651" t="s">
        <v>7865</v>
      </c>
      <c r="F3651" t="str">
        <f>"00386385"</f>
        <v>00386385</v>
      </c>
      <c r="G3651" t="s">
        <v>107</v>
      </c>
      <c r="H3651" t="s">
        <v>20</v>
      </c>
      <c r="I3651">
        <v>1472</v>
      </c>
      <c r="J3651" t="s">
        <v>21</v>
      </c>
      <c r="K3651">
        <v>0</v>
      </c>
      <c r="L3651" t="s">
        <v>35</v>
      </c>
      <c r="M3651">
        <v>956</v>
      </c>
    </row>
    <row r="3652" spans="1:13">
      <c r="A3652">
        <v>3646</v>
      </c>
      <c r="B3652">
        <v>89100</v>
      </c>
      <c r="C3652" t="s">
        <v>7864</v>
      </c>
      <c r="D3652" t="s">
        <v>243</v>
      </c>
      <c r="E3652" t="s">
        <v>7866</v>
      </c>
      <c r="F3652" t="str">
        <f>"00400664"</f>
        <v>00400664</v>
      </c>
      <c r="G3652" t="s">
        <v>230</v>
      </c>
      <c r="H3652" t="s">
        <v>20</v>
      </c>
      <c r="I3652">
        <v>1545</v>
      </c>
      <c r="J3652" t="s">
        <v>21</v>
      </c>
      <c r="K3652">
        <v>0</v>
      </c>
      <c r="M3652">
        <v>1455</v>
      </c>
    </row>
    <row r="3653" spans="1:13">
      <c r="A3653">
        <v>3647</v>
      </c>
      <c r="B3653">
        <v>91638</v>
      </c>
      <c r="C3653" t="s">
        <v>7864</v>
      </c>
      <c r="D3653" t="s">
        <v>655</v>
      </c>
      <c r="E3653" t="s">
        <v>7867</v>
      </c>
      <c r="F3653" t="str">
        <f>"00309822"</f>
        <v>00309822</v>
      </c>
      <c r="G3653" t="s">
        <v>107</v>
      </c>
      <c r="H3653" t="s">
        <v>20</v>
      </c>
      <c r="I3653">
        <v>1472</v>
      </c>
      <c r="J3653" t="s">
        <v>21</v>
      </c>
      <c r="K3653">
        <v>0</v>
      </c>
      <c r="M3653">
        <v>1388</v>
      </c>
    </row>
    <row r="3654" spans="1:13">
      <c r="A3654">
        <v>3648</v>
      </c>
      <c r="B3654">
        <v>71498</v>
      </c>
      <c r="C3654" t="s">
        <v>7868</v>
      </c>
      <c r="D3654" t="s">
        <v>94</v>
      </c>
      <c r="E3654" t="s">
        <v>7869</v>
      </c>
      <c r="F3654" t="str">
        <f>"201511011889"</f>
        <v>201511011889</v>
      </c>
      <c r="G3654" t="s">
        <v>63</v>
      </c>
      <c r="H3654" t="s">
        <v>20</v>
      </c>
      <c r="I3654">
        <v>1576</v>
      </c>
      <c r="J3654" t="s">
        <v>21</v>
      </c>
      <c r="K3654">
        <v>0</v>
      </c>
      <c r="M3654">
        <v>1328</v>
      </c>
    </row>
    <row r="3655" spans="1:13">
      <c r="A3655">
        <v>3649</v>
      </c>
      <c r="B3655">
        <v>67162</v>
      </c>
      <c r="C3655" t="s">
        <v>7870</v>
      </c>
      <c r="D3655" t="s">
        <v>153</v>
      </c>
      <c r="E3655" t="s">
        <v>7871</v>
      </c>
      <c r="F3655" t="str">
        <f>"201506001040"</f>
        <v>201506001040</v>
      </c>
      <c r="G3655" t="s">
        <v>47</v>
      </c>
      <c r="H3655" t="s">
        <v>48</v>
      </c>
      <c r="I3655">
        <v>1623</v>
      </c>
      <c r="J3655" t="s">
        <v>21</v>
      </c>
      <c r="K3655">
        <v>0</v>
      </c>
      <c r="L3655" t="s">
        <v>35</v>
      </c>
      <c r="M3655">
        <v>941</v>
      </c>
    </row>
    <row r="3656" spans="1:13">
      <c r="A3656">
        <v>3650</v>
      </c>
      <c r="B3656">
        <v>100014</v>
      </c>
      <c r="C3656" t="s">
        <v>7872</v>
      </c>
      <c r="D3656" t="s">
        <v>80</v>
      </c>
      <c r="E3656" t="s">
        <v>7873</v>
      </c>
      <c r="F3656" t="str">
        <f>"00387489"</f>
        <v>00387489</v>
      </c>
      <c r="G3656" t="s">
        <v>691</v>
      </c>
      <c r="H3656" t="s">
        <v>241</v>
      </c>
      <c r="I3656">
        <v>1360</v>
      </c>
      <c r="J3656" t="s">
        <v>21</v>
      </c>
      <c r="K3656">
        <v>0</v>
      </c>
      <c r="L3656" t="s">
        <v>35</v>
      </c>
      <c r="M3656">
        <v>1004</v>
      </c>
    </row>
    <row r="3657" spans="1:13">
      <c r="A3657">
        <v>3651</v>
      </c>
      <c r="B3657">
        <v>56994</v>
      </c>
      <c r="C3657" t="s">
        <v>7874</v>
      </c>
      <c r="D3657" t="s">
        <v>76</v>
      </c>
      <c r="E3657" t="s">
        <v>7875</v>
      </c>
      <c r="F3657" t="str">
        <f>"00049429"</f>
        <v>00049429</v>
      </c>
      <c r="G3657" t="s">
        <v>155</v>
      </c>
      <c r="H3657" t="s">
        <v>156</v>
      </c>
      <c r="I3657">
        <v>1342</v>
      </c>
      <c r="J3657" t="s">
        <v>21</v>
      </c>
      <c r="K3657">
        <v>0</v>
      </c>
      <c r="M3657">
        <v>1595</v>
      </c>
    </row>
    <row r="3658" spans="1:13">
      <c r="A3658">
        <v>3652</v>
      </c>
      <c r="B3658">
        <v>84707</v>
      </c>
      <c r="C3658" t="s">
        <v>7876</v>
      </c>
      <c r="D3658" t="s">
        <v>94</v>
      </c>
      <c r="E3658" t="s">
        <v>7877</v>
      </c>
      <c r="F3658" t="str">
        <f>"00388424"</f>
        <v>00388424</v>
      </c>
      <c r="G3658" t="s">
        <v>245</v>
      </c>
      <c r="H3658" t="s">
        <v>20</v>
      </c>
      <c r="I3658">
        <v>1406</v>
      </c>
      <c r="J3658" t="s">
        <v>21</v>
      </c>
      <c r="K3658">
        <v>0</v>
      </c>
      <c r="L3658" t="s">
        <v>35</v>
      </c>
      <c r="M3658">
        <v>908</v>
      </c>
    </row>
    <row r="3659" spans="1:13">
      <c r="A3659">
        <v>3653</v>
      </c>
      <c r="B3659">
        <v>83788</v>
      </c>
      <c r="C3659" t="s">
        <v>7876</v>
      </c>
      <c r="D3659" t="s">
        <v>205</v>
      </c>
      <c r="E3659" t="s">
        <v>7878</v>
      </c>
      <c r="F3659" t="str">
        <f>"00397814"</f>
        <v>00397814</v>
      </c>
      <c r="G3659" t="s">
        <v>1321</v>
      </c>
      <c r="H3659" t="s">
        <v>234</v>
      </c>
      <c r="I3659">
        <v>1330</v>
      </c>
      <c r="J3659" t="s">
        <v>21</v>
      </c>
      <c r="K3659">
        <v>0</v>
      </c>
      <c r="M3659">
        <v>1438</v>
      </c>
    </row>
    <row r="3660" spans="1:13">
      <c r="A3660">
        <v>3654</v>
      </c>
      <c r="B3660">
        <v>60103</v>
      </c>
      <c r="C3660" t="s">
        <v>7876</v>
      </c>
      <c r="D3660" t="s">
        <v>102</v>
      </c>
      <c r="E3660" t="s">
        <v>7879</v>
      </c>
      <c r="F3660" t="str">
        <f>"00358849"</f>
        <v>00358849</v>
      </c>
      <c r="G3660" t="s">
        <v>278</v>
      </c>
      <c r="H3660" t="s">
        <v>20</v>
      </c>
      <c r="I3660">
        <v>1441</v>
      </c>
      <c r="J3660" t="s">
        <v>21</v>
      </c>
      <c r="K3660">
        <v>0</v>
      </c>
      <c r="M3660">
        <v>1668</v>
      </c>
    </row>
    <row r="3661" spans="1:13">
      <c r="A3661">
        <v>3655</v>
      </c>
      <c r="B3661">
        <v>50039</v>
      </c>
      <c r="C3661" t="s">
        <v>7876</v>
      </c>
      <c r="D3661" t="s">
        <v>563</v>
      </c>
      <c r="E3661" t="s">
        <v>7880</v>
      </c>
      <c r="F3661" t="str">
        <f>"00363455"</f>
        <v>00363455</v>
      </c>
      <c r="G3661" t="s">
        <v>107</v>
      </c>
      <c r="H3661" t="s">
        <v>20</v>
      </c>
      <c r="I3661">
        <v>1472</v>
      </c>
      <c r="J3661" t="s">
        <v>21</v>
      </c>
      <c r="K3661">
        <v>0</v>
      </c>
      <c r="M3661">
        <v>1428</v>
      </c>
    </row>
    <row r="3662" spans="1:13">
      <c r="A3662">
        <v>3656</v>
      </c>
      <c r="B3662">
        <v>56304</v>
      </c>
      <c r="C3662" t="s">
        <v>7881</v>
      </c>
      <c r="D3662" t="s">
        <v>566</v>
      </c>
      <c r="E3662" t="s">
        <v>7882</v>
      </c>
      <c r="F3662" t="str">
        <f>"00353140"</f>
        <v>00353140</v>
      </c>
      <c r="G3662" t="s">
        <v>226</v>
      </c>
      <c r="H3662" t="s">
        <v>20</v>
      </c>
      <c r="I3662">
        <v>1510</v>
      </c>
      <c r="J3662" t="s">
        <v>21</v>
      </c>
      <c r="K3662">
        <v>0</v>
      </c>
      <c r="M3662">
        <v>1428</v>
      </c>
    </row>
    <row r="3663" spans="1:13">
      <c r="A3663">
        <v>3657</v>
      </c>
      <c r="B3663">
        <v>64958</v>
      </c>
      <c r="C3663" t="s">
        <v>7883</v>
      </c>
      <c r="D3663" t="s">
        <v>7884</v>
      </c>
      <c r="E3663" t="s">
        <v>7885</v>
      </c>
      <c r="F3663" t="str">
        <f>"00270927"</f>
        <v>00270927</v>
      </c>
      <c r="G3663" t="s">
        <v>583</v>
      </c>
      <c r="H3663" t="s">
        <v>137</v>
      </c>
      <c r="I3663">
        <v>1601</v>
      </c>
      <c r="J3663" t="s">
        <v>21</v>
      </c>
      <c r="K3663">
        <v>0</v>
      </c>
      <c r="L3663" t="s">
        <v>35</v>
      </c>
      <c r="M3663">
        <v>908</v>
      </c>
    </row>
    <row r="3664" spans="1:13">
      <c r="A3664">
        <v>3658</v>
      </c>
      <c r="B3664">
        <v>70191</v>
      </c>
      <c r="C3664" t="s">
        <v>7886</v>
      </c>
      <c r="D3664" t="s">
        <v>288</v>
      </c>
      <c r="E3664" t="s">
        <v>7887</v>
      </c>
      <c r="F3664" t="str">
        <f>"00254647"</f>
        <v>00254647</v>
      </c>
      <c r="G3664" t="s">
        <v>82</v>
      </c>
      <c r="H3664" t="s">
        <v>20</v>
      </c>
      <c r="I3664">
        <v>1475</v>
      </c>
      <c r="J3664" t="s">
        <v>21</v>
      </c>
      <c r="K3664">
        <v>0</v>
      </c>
      <c r="M3664">
        <v>1528</v>
      </c>
    </row>
    <row r="3665" spans="1:13">
      <c r="A3665">
        <v>3659</v>
      </c>
      <c r="B3665">
        <v>76127</v>
      </c>
      <c r="C3665" t="s">
        <v>7888</v>
      </c>
      <c r="D3665" t="s">
        <v>1001</v>
      </c>
      <c r="E3665" t="s">
        <v>7889</v>
      </c>
      <c r="F3665" t="str">
        <f>"00395734"</f>
        <v>00395734</v>
      </c>
      <c r="G3665" t="s">
        <v>371</v>
      </c>
      <c r="H3665" t="s">
        <v>20</v>
      </c>
      <c r="I3665">
        <v>1526</v>
      </c>
      <c r="J3665" t="s">
        <v>21</v>
      </c>
      <c r="K3665">
        <v>6</v>
      </c>
      <c r="M3665">
        <v>1107</v>
      </c>
    </row>
    <row r="3666" spans="1:13">
      <c r="A3666">
        <v>3660</v>
      </c>
      <c r="B3666">
        <v>76668</v>
      </c>
      <c r="C3666" t="s">
        <v>7890</v>
      </c>
      <c r="D3666" t="s">
        <v>65</v>
      </c>
      <c r="E3666" t="s">
        <v>7891</v>
      </c>
      <c r="F3666" t="str">
        <f>"00301140"</f>
        <v>00301140</v>
      </c>
      <c r="G3666" t="s">
        <v>150</v>
      </c>
      <c r="H3666" t="s">
        <v>151</v>
      </c>
      <c r="I3666">
        <v>1699</v>
      </c>
      <c r="J3666" t="s">
        <v>21</v>
      </c>
      <c r="K3666">
        <v>0</v>
      </c>
      <c r="L3666" t="s">
        <v>59</v>
      </c>
      <c r="M3666">
        <v>790</v>
      </c>
    </row>
    <row r="3667" spans="1:13">
      <c r="A3667">
        <v>3661</v>
      </c>
      <c r="B3667">
        <v>114346</v>
      </c>
      <c r="C3667" t="s">
        <v>7892</v>
      </c>
      <c r="D3667" t="s">
        <v>105</v>
      </c>
      <c r="E3667" t="s">
        <v>7893</v>
      </c>
      <c r="F3667" t="str">
        <f>"200804000527"</f>
        <v>200804000527</v>
      </c>
      <c r="G3667" t="s">
        <v>709</v>
      </c>
      <c r="H3667" t="s">
        <v>20</v>
      </c>
      <c r="I3667">
        <v>1413</v>
      </c>
      <c r="J3667" t="s">
        <v>21</v>
      </c>
      <c r="K3667">
        <v>0</v>
      </c>
      <c r="M3667">
        <v>1313</v>
      </c>
    </row>
    <row r="3668" spans="1:13">
      <c r="A3668">
        <v>3662</v>
      </c>
      <c r="B3668">
        <v>75524</v>
      </c>
      <c r="C3668" t="s">
        <v>7894</v>
      </c>
      <c r="D3668" t="s">
        <v>243</v>
      </c>
      <c r="E3668" t="s">
        <v>7895</v>
      </c>
      <c r="F3668" t="str">
        <f>"201511013614"</f>
        <v>201511013614</v>
      </c>
      <c r="G3668" t="s">
        <v>125</v>
      </c>
      <c r="H3668" t="s">
        <v>20</v>
      </c>
      <c r="I3668">
        <v>1507</v>
      </c>
      <c r="J3668" t="s">
        <v>21</v>
      </c>
      <c r="K3668">
        <v>0</v>
      </c>
      <c r="L3668" t="s">
        <v>88</v>
      </c>
      <c r="M3668">
        <v>620</v>
      </c>
    </row>
    <row r="3669" spans="1:13">
      <c r="A3669">
        <v>3663</v>
      </c>
      <c r="B3669">
        <v>90389</v>
      </c>
      <c r="C3669" t="s">
        <v>7896</v>
      </c>
      <c r="D3669" t="s">
        <v>130</v>
      </c>
      <c r="E3669" t="s">
        <v>7897</v>
      </c>
      <c r="F3669" t="str">
        <f>"201511037273"</f>
        <v>201511037273</v>
      </c>
      <c r="G3669" t="s">
        <v>82</v>
      </c>
      <c r="H3669" t="s">
        <v>20</v>
      </c>
      <c r="I3669">
        <v>1475</v>
      </c>
      <c r="J3669" t="s">
        <v>21</v>
      </c>
      <c r="K3669">
        <v>0</v>
      </c>
      <c r="L3669" t="s">
        <v>88</v>
      </c>
      <c r="M3669">
        <v>700</v>
      </c>
    </row>
    <row r="3670" spans="1:13">
      <c r="A3670">
        <v>3664</v>
      </c>
      <c r="B3670">
        <v>80831</v>
      </c>
      <c r="C3670" t="s">
        <v>7898</v>
      </c>
      <c r="D3670" t="s">
        <v>76</v>
      </c>
      <c r="E3670" t="s">
        <v>7899</v>
      </c>
      <c r="F3670" t="str">
        <f>"201511040589"</f>
        <v>201511040589</v>
      </c>
      <c r="G3670" t="s">
        <v>100</v>
      </c>
      <c r="H3670" t="s">
        <v>20</v>
      </c>
      <c r="I3670">
        <v>1468</v>
      </c>
      <c r="J3670" t="s">
        <v>21</v>
      </c>
      <c r="K3670">
        <v>0</v>
      </c>
      <c r="M3670">
        <v>1638</v>
      </c>
    </row>
    <row r="3671" spans="1:13">
      <c r="A3671">
        <v>3665</v>
      </c>
      <c r="B3671">
        <v>73535</v>
      </c>
      <c r="C3671" t="s">
        <v>7900</v>
      </c>
      <c r="D3671" t="s">
        <v>905</v>
      </c>
      <c r="E3671" t="s">
        <v>7901</v>
      </c>
      <c r="F3671" t="str">
        <f>"00383963"</f>
        <v>00383963</v>
      </c>
      <c r="G3671" t="s">
        <v>352</v>
      </c>
      <c r="H3671" t="s">
        <v>20</v>
      </c>
      <c r="I3671">
        <v>1471</v>
      </c>
      <c r="J3671" t="s">
        <v>21</v>
      </c>
      <c r="K3671">
        <v>0</v>
      </c>
      <c r="L3671" t="s">
        <v>59</v>
      </c>
      <c r="M3671">
        <v>928</v>
      </c>
    </row>
    <row r="3672" spans="1:13">
      <c r="A3672">
        <v>3666</v>
      </c>
      <c r="B3672">
        <v>61489</v>
      </c>
      <c r="C3672" t="s">
        <v>7902</v>
      </c>
      <c r="D3672" t="s">
        <v>198</v>
      </c>
      <c r="E3672" t="s">
        <v>7903</v>
      </c>
      <c r="F3672" t="str">
        <f>"201602000347"</f>
        <v>201602000347</v>
      </c>
      <c r="G3672" t="s">
        <v>892</v>
      </c>
      <c r="H3672" t="s">
        <v>20</v>
      </c>
      <c r="I3672">
        <v>1410</v>
      </c>
      <c r="J3672" t="s">
        <v>21</v>
      </c>
      <c r="K3672">
        <v>0</v>
      </c>
      <c r="M3672">
        <v>1488</v>
      </c>
    </row>
    <row r="3673" spans="1:13">
      <c r="A3673">
        <v>3667</v>
      </c>
      <c r="B3673">
        <v>60682</v>
      </c>
      <c r="C3673" t="s">
        <v>7904</v>
      </c>
      <c r="D3673" t="s">
        <v>121</v>
      </c>
      <c r="E3673" t="s">
        <v>7905</v>
      </c>
      <c r="F3673" t="str">
        <f>"00301438"</f>
        <v>00301438</v>
      </c>
      <c r="G3673" t="s">
        <v>125</v>
      </c>
      <c r="H3673" t="s">
        <v>20</v>
      </c>
      <c r="I3673">
        <v>1507</v>
      </c>
      <c r="J3673" t="s">
        <v>21</v>
      </c>
      <c r="K3673">
        <v>0</v>
      </c>
      <c r="L3673" t="s">
        <v>35</v>
      </c>
      <c r="M3673">
        <v>958</v>
      </c>
    </row>
    <row r="3674" spans="1:13">
      <c r="A3674">
        <v>3668</v>
      </c>
      <c r="B3674">
        <v>61286</v>
      </c>
      <c r="C3674" t="s">
        <v>7906</v>
      </c>
      <c r="D3674" t="s">
        <v>7907</v>
      </c>
      <c r="E3674" t="s">
        <v>7908</v>
      </c>
      <c r="F3674" t="str">
        <f>"00048132"</f>
        <v>00048132</v>
      </c>
      <c r="G3674" t="s">
        <v>107</v>
      </c>
      <c r="H3674" t="s">
        <v>20</v>
      </c>
      <c r="I3674">
        <v>1472</v>
      </c>
      <c r="J3674" t="s">
        <v>21</v>
      </c>
      <c r="K3674">
        <v>0</v>
      </c>
      <c r="M3674">
        <v>1448</v>
      </c>
    </row>
    <row r="3675" spans="1:13">
      <c r="A3675">
        <v>3669</v>
      </c>
      <c r="B3675">
        <v>106350</v>
      </c>
      <c r="C3675" t="s">
        <v>7909</v>
      </c>
      <c r="D3675" t="s">
        <v>102</v>
      </c>
      <c r="E3675" t="s">
        <v>7910</v>
      </c>
      <c r="F3675" t="str">
        <f>"00407734"</f>
        <v>00407734</v>
      </c>
      <c r="G3675" t="s">
        <v>47</v>
      </c>
      <c r="H3675" t="s">
        <v>48</v>
      </c>
      <c r="I3675">
        <v>1623</v>
      </c>
      <c r="J3675" t="s">
        <v>21</v>
      </c>
      <c r="K3675">
        <v>0</v>
      </c>
      <c r="L3675" t="s">
        <v>35</v>
      </c>
      <c r="M3675">
        <v>857</v>
      </c>
    </row>
    <row r="3676" spans="1:13">
      <c r="A3676">
        <v>3670</v>
      </c>
      <c r="B3676">
        <v>60624</v>
      </c>
      <c r="C3676" t="s">
        <v>7911</v>
      </c>
      <c r="D3676" t="s">
        <v>243</v>
      </c>
      <c r="E3676" t="s">
        <v>7912</v>
      </c>
      <c r="F3676" t="str">
        <f>"201511007191"</f>
        <v>201511007191</v>
      </c>
      <c r="G3676" t="s">
        <v>107</v>
      </c>
      <c r="H3676" t="s">
        <v>20</v>
      </c>
      <c r="I3676">
        <v>1472</v>
      </c>
      <c r="J3676" t="s">
        <v>21</v>
      </c>
      <c r="K3676">
        <v>0</v>
      </c>
      <c r="L3676" t="s">
        <v>35</v>
      </c>
      <c r="M3676">
        <v>908</v>
      </c>
    </row>
    <row r="3677" spans="1:13">
      <c r="A3677">
        <v>3671</v>
      </c>
      <c r="B3677">
        <v>105337</v>
      </c>
      <c r="C3677" t="s">
        <v>7913</v>
      </c>
      <c r="D3677" t="s">
        <v>105</v>
      </c>
      <c r="E3677" t="s">
        <v>7914</v>
      </c>
      <c r="F3677" t="str">
        <f>"00367004"</f>
        <v>00367004</v>
      </c>
      <c r="G3677" t="s">
        <v>245</v>
      </c>
      <c r="H3677" t="s">
        <v>20</v>
      </c>
      <c r="I3677">
        <v>1406</v>
      </c>
      <c r="J3677" t="s">
        <v>21</v>
      </c>
      <c r="K3677">
        <v>0</v>
      </c>
      <c r="L3677" t="s">
        <v>35</v>
      </c>
      <c r="M3677">
        <v>908</v>
      </c>
    </row>
    <row r="3678" spans="1:13">
      <c r="A3678">
        <v>3672</v>
      </c>
      <c r="B3678">
        <v>51896</v>
      </c>
      <c r="C3678" t="s">
        <v>7915</v>
      </c>
      <c r="D3678" t="s">
        <v>76</v>
      </c>
      <c r="E3678" t="s">
        <v>7916</v>
      </c>
      <c r="F3678" t="str">
        <f>"00348791"</f>
        <v>00348791</v>
      </c>
      <c r="G3678" t="s">
        <v>258</v>
      </c>
      <c r="H3678" t="s">
        <v>20</v>
      </c>
      <c r="I3678">
        <v>1484</v>
      </c>
      <c r="J3678" t="s">
        <v>21</v>
      </c>
      <c r="K3678">
        <v>0</v>
      </c>
      <c r="L3678" t="s">
        <v>88</v>
      </c>
      <c r="M3678">
        <v>475</v>
      </c>
    </row>
    <row r="3679" spans="1:13">
      <c r="A3679">
        <v>3673</v>
      </c>
      <c r="B3679">
        <v>62947</v>
      </c>
      <c r="C3679" t="s">
        <v>7917</v>
      </c>
      <c r="D3679" t="s">
        <v>198</v>
      </c>
      <c r="E3679" t="s">
        <v>7918</v>
      </c>
      <c r="F3679" t="str">
        <f>"201412004163"</f>
        <v>201412004163</v>
      </c>
      <c r="G3679" t="s">
        <v>29</v>
      </c>
      <c r="H3679" t="s">
        <v>20</v>
      </c>
      <c r="I3679">
        <v>1446</v>
      </c>
      <c r="J3679" t="s">
        <v>21</v>
      </c>
      <c r="K3679">
        <v>0</v>
      </c>
      <c r="L3679" t="s">
        <v>35</v>
      </c>
      <c r="M3679">
        <v>1008</v>
      </c>
    </row>
    <row r="3680" spans="1:13">
      <c r="A3680">
        <v>3674</v>
      </c>
      <c r="B3680">
        <v>62623</v>
      </c>
      <c r="C3680" t="s">
        <v>7919</v>
      </c>
      <c r="D3680" t="s">
        <v>117</v>
      </c>
      <c r="E3680" t="s">
        <v>7920</v>
      </c>
      <c r="F3680" t="str">
        <f>"201511004826"</f>
        <v>201511004826</v>
      </c>
      <c r="G3680" t="s">
        <v>107</v>
      </c>
      <c r="H3680" t="s">
        <v>20</v>
      </c>
      <c r="I3680">
        <v>1472</v>
      </c>
      <c r="J3680" t="s">
        <v>21</v>
      </c>
      <c r="K3680">
        <v>0</v>
      </c>
      <c r="L3680" t="s">
        <v>35</v>
      </c>
      <c r="M3680">
        <v>923</v>
      </c>
    </row>
    <row r="3681" spans="1:13">
      <c r="A3681">
        <v>3675</v>
      </c>
      <c r="B3681">
        <v>66807</v>
      </c>
      <c r="C3681" t="s">
        <v>7921</v>
      </c>
      <c r="D3681" t="s">
        <v>80</v>
      </c>
      <c r="E3681" t="s">
        <v>7922</v>
      </c>
      <c r="F3681" t="str">
        <f>"00266121"</f>
        <v>00266121</v>
      </c>
      <c r="G3681" t="s">
        <v>583</v>
      </c>
      <c r="H3681" t="s">
        <v>137</v>
      </c>
      <c r="I3681">
        <v>1601</v>
      </c>
      <c r="J3681" t="s">
        <v>21</v>
      </c>
      <c r="K3681">
        <v>0</v>
      </c>
      <c r="L3681" t="s">
        <v>35</v>
      </c>
      <c r="M3681">
        <v>1008</v>
      </c>
    </row>
    <row r="3682" spans="1:13">
      <c r="A3682">
        <v>3676</v>
      </c>
      <c r="B3682">
        <v>104149</v>
      </c>
      <c r="C3682" t="s">
        <v>7923</v>
      </c>
      <c r="D3682" t="s">
        <v>180</v>
      </c>
      <c r="E3682" t="s">
        <v>7924</v>
      </c>
      <c r="F3682" t="str">
        <f>"00356850"</f>
        <v>00356850</v>
      </c>
      <c r="G3682" t="s">
        <v>215</v>
      </c>
      <c r="H3682" t="s">
        <v>216</v>
      </c>
      <c r="I3682">
        <v>1708</v>
      </c>
      <c r="J3682" t="s">
        <v>21</v>
      </c>
      <c r="K3682">
        <v>6</v>
      </c>
      <c r="M3682">
        <v>1448</v>
      </c>
    </row>
    <row r="3683" spans="1:13">
      <c r="A3683">
        <v>3677</v>
      </c>
      <c r="B3683">
        <v>49168</v>
      </c>
      <c r="C3683" t="s">
        <v>7925</v>
      </c>
      <c r="D3683" t="s">
        <v>121</v>
      </c>
      <c r="E3683" t="s">
        <v>7926</v>
      </c>
      <c r="F3683" t="str">
        <f>"201506002016"</f>
        <v>201506002016</v>
      </c>
      <c r="G3683" t="s">
        <v>47</v>
      </c>
      <c r="H3683" t="s">
        <v>48</v>
      </c>
      <c r="I3683">
        <v>1623</v>
      </c>
      <c r="J3683" t="s">
        <v>21</v>
      </c>
      <c r="K3683">
        <v>0</v>
      </c>
      <c r="M3683">
        <v>1438</v>
      </c>
    </row>
    <row r="3684" spans="1:13">
      <c r="A3684">
        <v>3678</v>
      </c>
      <c r="B3684">
        <v>82324</v>
      </c>
      <c r="C3684" t="s">
        <v>7927</v>
      </c>
      <c r="D3684" t="s">
        <v>105</v>
      </c>
      <c r="E3684" t="s">
        <v>7928</v>
      </c>
      <c r="F3684" t="str">
        <f>"00364362"</f>
        <v>00364362</v>
      </c>
      <c r="G3684" t="s">
        <v>230</v>
      </c>
      <c r="H3684" t="s">
        <v>20</v>
      </c>
      <c r="I3684">
        <v>1545</v>
      </c>
      <c r="J3684" t="s">
        <v>21</v>
      </c>
      <c r="K3684">
        <v>0</v>
      </c>
      <c r="M3684">
        <v>1588</v>
      </c>
    </row>
    <row r="3685" spans="1:13">
      <c r="A3685">
        <v>3679</v>
      </c>
      <c r="B3685">
        <v>68610</v>
      </c>
      <c r="C3685" t="s">
        <v>7929</v>
      </c>
      <c r="D3685" t="s">
        <v>76</v>
      </c>
      <c r="E3685" t="s">
        <v>7930</v>
      </c>
      <c r="F3685" t="str">
        <f>"00395431"</f>
        <v>00395431</v>
      </c>
      <c r="G3685" t="s">
        <v>626</v>
      </c>
      <c r="H3685" t="s">
        <v>234</v>
      </c>
      <c r="I3685">
        <v>1327</v>
      </c>
      <c r="J3685" t="s">
        <v>21</v>
      </c>
      <c r="K3685">
        <v>0</v>
      </c>
      <c r="M3685">
        <v>1556</v>
      </c>
    </row>
    <row r="3686" spans="1:13">
      <c r="A3686">
        <v>3680</v>
      </c>
      <c r="B3686">
        <v>112458</v>
      </c>
      <c r="C3686" t="s">
        <v>7931</v>
      </c>
      <c r="D3686" t="s">
        <v>2454</v>
      </c>
      <c r="E3686" t="s">
        <v>7932</v>
      </c>
      <c r="F3686" t="str">
        <f>"00402603"</f>
        <v>00402603</v>
      </c>
      <c r="G3686" t="s">
        <v>196</v>
      </c>
      <c r="H3686" t="s">
        <v>20</v>
      </c>
      <c r="I3686">
        <v>1512</v>
      </c>
      <c r="J3686" t="s">
        <v>21</v>
      </c>
      <c r="K3686">
        <v>6</v>
      </c>
      <c r="L3686" t="s">
        <v>35</v>
      </c>
      <c r="M3686">
        <v>908</v>
      </c>
    </row>
    <row r="3687" spans="1:13">
      <c r="A3687">
        <v>3681</v>
      </c>
      <c r="B3687">
        <v>96312</v>
      </c>
      <c r="C3687" t="s">
        <v>7933</v>
      </c>
      <c r="D3687" t="s">
        <v>628</v>
      </c>
      <c r="E3687" t="s">
        <v>7934</v>
      </c>
      <c r="F3687" t="str">
        <f>"00374254"</f>
        <v>00374254</v>
      </c>
      <c r="G3687" t="s">
        <v>809</v>
      </c>
      <c r="H3687" t="s">
        <v>20</v>
      </c>
      <c r="I3687">
        <v>1504</v>
      </c>
      <c r="J3687" t="s">
        <v>21</v>
      </c>
      <c r="K3687">
        <v>0</v>
      </c>
      <c r="M3687">
        <v>1418</v>
      </c>
    </row>
    <row r="3688" spans="1:13">
      <c r="A3688">
        <v>3682</v>
      </c>
      <c r="B3688">
        <v>71476</v>
      </c>
      <c r="C3688" t="s">
        <v>7935</v>
      </c>
      <c r="D3688" t="s">
        <v>76</v>
      </c>
      <c r="E3688" t="s">
        <v>7936</v>
      </c>
      <c r="F3688" t="str">
        <f>"00258785"</f>
        <v>00258785</v>
      </c>
      <c r="G3688" t="s">
        <v>610</v>
      </c>
      <c r="H3688" t="s">
        <v>20</v>
      </c>
      <c r="I3688">
        <v>1429</v>
      </c>
      <c r="J3688" t="s">
        <v>21</v>
      </c>
      <c r="K3688">
        <v>0</v>
      </c>
      <c r="M3688">
        <v>1428</v>
      </c>
    </row>
    <row r="3689" spans="1:13">
      <c r="A3689">
        <v>3683</v>
      </c>
      <c r="B3689">
        <v>113794</v>
      </c>
      <c r="C3689" t="s">
        <v>7937</v>
      </c>
      <c r="D3689" t="s">
        <v>276</v>
      </c>
      <c r="E3689" t="s">
        <v>7938</v>
      </c>
      <c r="F3689" t="str">
        <f>"00409565"</f>
        <v>00409565</v>
      </c>
      <c r="G3689" t="s">
        <v>955</v>
      </c>
      <c r="H3689" t="s">
        <v>48</v>
      </c>
      <c r="I3689">
        <v>1630</v>
      </c>
      <c r="J3689" t="s">
        <v>21</v>
      </c>
      <c r="K3689">
        <v>0</v>
      </c>
      <c r="M3689">
        <v>1328</v>
      </c>
    </row>
    <row r="3690" spans="1:13">
      <c r="A3690">
        <v>3684</v>
      </c>
      <c r="B3690">
        <v>76485</v>
      </c>
      <c r="C3690" t="s">
        <v>7939</v>
      </c>
      <c r="D3690" t="s">
        <v>209</v>
      </c>
      <c r="E3690" t="s">
        <v>7940</v>
      </c>
      <c r="F3690" t="str">
        <f>"00384007"</f>
        <v>00384007</v>
      </c>
      <c r="G3690" t="s">
        <v>47</v>
      </c>
      <c r="H3690" t="s">
        <v>48</v>
      </c>
      <c r="I3690">
        <v>1623</v>
      </c>
      <c r="J3690" t="s">
        <v>21</v>
      </c>
      <c r="K3690">
        <v>0</v>
      </c>
      <c r="M3690">
        <v>1528</v>
      </c>
    </row>
    <row r="3691" spans="1:13">
      <c r="A3691">
        <v>3685</v>
      </c>
      <c r="B3691">
        <v>102441</v>
      </c>
      <c r="C3691" t="s">
        <v>7941</v>
      </c>
      <c r="D3691" t="s">
        <v>209</v>
      </c>
      <c r="E3691" t="s">
        <v>7942</v>
      </c>
      <c r="F3691" t="str">
        <f>"00385544"</f>
        <v>00385544</v>
      </c>
      <c r="G3691" t="s">
        <v>341</v>
      </c>
      <c r="H3691" t="s">
        <v>2515</v>
      </c>
      <c r="I3691">
        <v>1348</v>
      </c>
      <c r="J3691" t="s">
        <v>21</v>
      </c>
      <c r="K3691">
        <v>6</v>
      </c>
      <c r="L3691" t="s">
        <v>35</v>
      </c>
      <c r="M3691">
        <v>1232</v>
      </c>
    </row>
    <row r="3692" spans="1:13">
      <c r="A3692">
        <v>3686</v>
      </c>
      <c r="B3692">
        <v>62962</v>
      </c>
      <c r="C3692" t="s">
        <v>7943</v>
      </c>
      <c r="D3692" t="s">
        <v>76</v>
      </c>
      <c r="E3692" t="s">
        <v>7944</v>
      </c>
      <c r="F3692" t="str">
        <f>"00353340"</f>
        <v>00353340</v>
      </c>
      <c r="G3692" t="s">
        <v>2518</v>
      </c>
      <c r="H3692" t="s">
        <v>1610</v>
      </c>
      <c r="I3692">
        <v>1304</v>
      </c>
      <c r="J3692" t="s">
        <v>21</v>
      </c>
      <c r="K3692">
        <v>0</v>
      </c>
      <c r="L3692" t="s">
        <v>35</v>
      </c>
      <c r="M3692">
        <v>1108</v>
      </c>
    </row>
    <row r="3693" spans="1:13">
      <c r="A3693">
        <v>3687</v>
      </c>
      <c r="B3693">
        <v>92141</v>
      </c>
      <c r="C3693" t="s">
        <v>7945</v>
      </c>
      <c r="D3693" t="s">
        <v>121</v>
      </c>
      <c r="E3693" t="s">
        <v>7946</v>
      </c>
      <c r="F3693" t="str">
        <f>"201410011430"</f>
        <v>201410011430</v>
      </c>
      <c r="G3693" t="s">
        <v>47</v>
      </c>
      <c r="H3693" t="s">
        <v>48</v>
      </c>
      <c r="I3693">
        <v>1623</v>
      </c>
      <c r="J3693" t="s">
        <v>21</v>
      </c>
      <c r="K3693">
        <v>0</v>
      </c>
      <c r="L3693" t="s">
        <v>35</v>
      </c>
      <c r="M3693">
        <v>900</v>
      </c>
    </row>
    <row r="3694" spans="1:13">
      <c r="A3694">
        <v>3688</v>
      </c>
      <c r="B3694">
        <v>111388</v>
      </c>
      <c r="C3694" t="s">
        <v>7947</v>
      </c>
      <c r="D3694" t="s">
        <v>80</v>
      </c>
      <c r="E3694" t="s">
        <v>7948</v>
      </c>
      <c r="F3694" t="str">
        <f>"00383338"</f>
        <v>00383338</v>
      </c>
      <c r="G3694" t="s">
        <v>834</v>
      </c>
      <c r="H3694" t="s">
        <v>20</v>
      </c>
      <c r="I3694">
        <v>1416</v>
      </c>
      <c r="J3694" t="s">
        <v>21</v>
      </c>
      <c r="K3694">
        <v>0</v>
      </c>
      <c r="L3694" t="s">
        <v>35</v>
      </c>
      <c r="M3694">
        <v>936</v>
      </c>
    </row>
    <row r="3695" spans="1:13">
      <c r="A3695">
        <v>3689</v>
      </c>
      <c r="B3695">
        <v>69656</v>
      </c>
      <c r="C3695" t="s">
        <v>7949</v>
      </c>
      <c r="D3695" t="s">
        <v>180</v>
      </c>
      <c r="E3695" t="s">
        <v>7950</v>
      </c>
      <c r="F3695" t="str">
        <f>"201401000098"</f>
        <v>201401000098</v>
      </c>
      <c r="G3695" t="s">
        <v>200</v>
      </c>
      <c r="H3695" t="s">
        <v>20</v>
      </c>
      <c r="I3695">
        <v>1492</v>
      </c>
      <c r="J3695" t="s">
        <v>21</v>
      </c>
      <c r="K3695">
        <v>0</v>
      </c>
      <c r="L3695" t="s">
        <v>35</v>
      </c>
      <c r="M3695">
        <v>923</v>
      </c>
    </row>
    <row r="3696" spans="1:13">
      <c r="A3696">
        <v>3690</v>
      </c>
      <c r="B3696">
        <v>73925</v>
      </c>
      <c r="C3696" t="s">
        <v>7951</v>
      </c>
      <c r="D3696" t="s">
        <v>566</v>
      </c>
      <c r="E3696" t="s">
        <v>7952</v>
      </c>
      <c r="F3696" t="str">
        <f>"00383928"</f>
        <v>00383928</v>
      </c>
      <c r="G3696" t="s">
        <v>125</v>
      </c>
      <c r="H3696" t="s">
        <v>20</v>
      </c>
      <c r="I3696">
        <v>1507</v>
      </c>
      <c r="J3696" t="s">
        <v>21</v>
      </c>
      <c r="K3696">
        <v>0</v>
      </c>
      <c r="M3696">
        <v>1388</v>
      </c>
    </row>
    <row r="3697" spans="1:13">
      <c r="A3697">
        <v>3691</v>
      </c>
      <c r="B3697">
        <v>114044</v>
      </c>
      <c r="C3697" t="s">
        <v>7953</v>
      </c>
      <c r="D3697" t="s">
        <v>243</v>
      </c>
      <c r="E3697" t="s">
        <v>7954</v>
      </c>
      <c r="F3697" t="str">
        <f>"00282261"</f>
        <v>00282261</v>
      </c>
      <c r="G3697" t="s">
        <v>47</v>
      </c>
      <c r="H3697" t="s">
        <v>48</v>
      </c>
      <c r="I3697">
        <v>1623</v>
      </c>
      <c r="J3697" t="s">
        <v>21</v>
      </c>
      <c r="K3697">
        <v>0</v>
      </c>
      <c r="M3697">
        <v>1388</v>
      </c>
    </row>
    <row r="3698" spans="1:13">
      <c r="A3698">
        <v>3692</v>
      </c>
      <c r="B3698">
        <v>76109</v>
      </c>
      <c r="C3698" t="s">
        <v>7955</v>
      </c>
      <c r="D3698" t="s">
        <v>76</v>
      </c>
      <c r="E3698" t="s">
        <v>7956</v>
      </c>
      <c r="F3698" t="str">
        <f>"00228602"</f>
        <v>00228602</v>
      </c>
      <c r="G3698" t="s">
        <v>1682</v>
      </c>
      <c r="H3698" t="s">
        <v>241</v>
      </c>
      <c r="I3698">
        <v>1363</v>
      </c>
      <c r="J3698" t="s">
        <v>21</v>
      </c>
      <c r="K3698">
        <v>0</v>
      </c>
      <c r="L3698" t="s">
        <v>35</v>
      </c>
      <c r="M3698">
        <v>1008</v>
      </c>
    </row>
    <row r="3699" spans="1:13">
      <c r="A3699">
        <v>3693</v>
      </c>
      <c r="B3699">
        <v>51760</v>
      </c>
      <c r="C3699" t="s">
        <v>7957</v>
      </c>
      <c r="D3699" t="s">
        <v>218</v>
      </c>
      <c r="E3699" t="s">
        <v>7958</v>
      </c>
      <c r="F3699" t="str">
        <f>"00075310"</f>
        <v>00075310</v>
      </c>
      <c r="G3699" t="s">
        <v>200</v>
      </c>
      <c r="H3699" t="s">
        <v>20</v>
      </c>
      <c r="I3699">
        <v>1492</v>
      </c>
      <c r="J3699" t="s">
        <v>21</v>
      </c>
      <c r="K3699">
        <v>0</v>
      </c>
      <c r="L3699" t="s">
        <v>88</v>
      </c>
      <c r="M3699">
        <v>600</v>
      </c>
    </row>
    <row r="3700" spans="1:13">
      <c r="A3700">
        <v>3694</v>
      </c>
      <c r="B3700">
        <v>116116</v>
      </c>
      <c r="C3700" t="s">
        <v>7959</v>
      </c>
      <c r="D3700" t="s">
        <v>163</v>
      </c>
      <c r="E3700" t="s">
        <v>7960</v>
      </c>
      <c r="F3700" t="str">
        <f>"00020594"</f>
        <v>00020594</v>
      </c>
      <c r="G3700" t="s">
        <v>47</v>
      </c>
      <c r="H3700" t="s">
        <v>48</v>
      </c>
      <c r="I3700">
        <v>1623</v>
      </c>
      <c r="J3700" t="s">
        <v>21</v>
      </c>
      <c r="K3700">
        <v>0</v>
      </c>
      <c r="M3700">
        <v>1388</v>
      </c>
    </row>
    <row r="3701" spans="1:13">
      <c r="A3701">
        <v>3695</v>
      </c>
      <c r="B3701">
        <v>112102</v>
      </c>
      <c r="C3701" t="s">
        <v>7961</v>
      </c>
      <c r="D3701" t="s">
        <v>243</v>
      </c>
      <c r="E3701" t="s">
        <v>7962</v>
      </c>
      <c r="F3701" t="str">
        <f>"00357782"</f>
        <v>00357782</v>
      </c>
      <c r="G3701" t="s">
        <v>704</v>
      </c>
      <c r="H3701" t="s">
        <v>20</v>
      </c>
      <c r="I3701">
        <v>1447</v>
      </c>
      <c r="J3701" t="s">
        <v>21</v>
      </c>
      <c r="K3701">
        <v>6</v>
      </c>
      <c r="M3701">
        <v>1563</v>
      </c>
    </row>
    <row r="3702" spans="1:13">
      <c r="A3702">
        <v>3696</v>
      </c>
      <c r="B3702">
        <v>53937</v>
      </c>
      <c r="C3702" t="s">
        <v>7963</v>
      </c>
      <c r="D3702" t="s">
        <v>243</v>
      </c>
      <c r="E3702" t="s">
        <v>7964</v>
      </c>
      <c r="F3702" t="str">
        <f>"200809000789"</f>
        <v>200809000789</v>
      </c>
      <c r="G3702" t="s">
        <v>365</v>
      </c>
      <c r="H3702" t="s">
        <v>366</v>
      </c>
      <c r="I3702">
        <v>1692</v>
      </c>
      <c r="J3702" t="s">
        <v>21</v>
      </c>
      <c r="K3702">
        <v>0</v>
      </c>
      <c r="L3702" t="s">
        <v>88</v>
      </c>
      <c r="M3702">
        <v>600</v>
      </c>
    </row>
    <row r="3703" spans="1:13">
      <c r="A3703">
        <v>3697</v>
      </c>
      <c r="B3703">
        <v>91468</v>
      </c>
      <c r="C3703" t="s">
        <v>7965</v>
      </c>
      <c r="D3703" t="s">
        <v>121</v>
      </c>
      <c r="E3703" t="s">
        <v>7966</v>
      </c>
      <c r="F3703" t="str">
        <f>"00284923"</f>
        <v>00284923</v>
      </c>
      <c r="G3703" t="s">
        <v>47</v>
      </c>
      <c r="H3703" t="s">
        <v>48</v>
      </c>
      <c r="I3703">
        <v>1623</v>
      </c>
      <c r="J3703" t="s">
        <v>21</v>
      </c>
      <c r="K3703">
        <v>0</v>
      </c>
      <c r="M3703">
        <v>1338</v>
      </c>
    </row>
    <row r="3704" spans="1:13">
      <c r="A3704">
        <v>3698</v>
      </c>
      <c r="B3704">
        <v>104431</v>
      </c>
      <c r="C3704" t="s">
        <v>7967</v>
      </c>
      <c r="D3704" t="s">
        <v>700</v>
      </c>
      <c r="E3704" t="s">
        <v>7968</v>
      </c>
      <c r="F3704" t="str">
        <f>"00374993"</f>
        <v>00374993</v>
      </c>
      <c r="G3704" t="s">
        <v>258</v>
      </c>
      <c r="H3704" t="s">
        <v>20</v>
      </c>
      <c r="I3704">
        <v>1484</v>
      </c>
      <c r="J3704" t="s">
        <v>21</v>
      </c>
      <c r="K3704">
        <v>0</v>
      </c>
      <c r="M3704">
        <v>1288</v>
      </c>
    </row>
    <row r="3705" spans="1:13">
      <c r="A3705">
        <v>3699</v>
      </c>
      <c r="B3705">
        <v>61995</v>
      </c>
      <c r="C3705" t="s">
        <v>7969</v>
      </c>
      <c r="D3705" t="s">
        <v>218</v>
      </c>
      <c r="E3705" t="s">
        <v>7970</v>
      </c>
      <c r="F3705" t="str">
        <f>"201406006169"</f>
        <v>201406006169</v>
      </c>
      <c r="G3705" t="s">
        <v>125</v>
      </c>
      <c r="H3705" t="s">
        <v>20</v>
      </c>
      <c r="I3705">
        <v>1507</v>
      </c>
      <c r="J3705" t="s">
        <v>21</v>
      </c>
      <c r="K3705">
        <v>0</v>
      </c>
      <c r="M3705">
        <v>1428</v>
      </c>
    </row>
    <row r="3706" spans="1:13">
      <c r="A3706">
        <v>3700</v>
      </c>
      <c r="B3706">
        <v>66611</v>
      </c>
      <c r="C3706" t="s">
        <v>7971</v>
      </c>
      <c r="D3706" t="s">
        <v>76</v>
      </c>
      <c r="E3706" t="s">
        <v>7972</v>
      </c>
      <c r="F3706" t="str">
        <f>"00298418"</f>
        <v>00298418</v>
      </c>
      <c r="G3706" t="s">
        <v>111</v>
      </c>
      <c r="H3706" t="s">
        <v>48</v>
      </c>
      <c r="I3706">
        <v>1620</v>
      </c>
      <c r="J3706" t="s">
        <v>21</v>
      </c>
      <c r="K3706">
        <v>0</v>
      </c>
      <c r="L3706" t="s">
        <v>35</v>
      </c>
      <c r="M3706">
        <v>883</v>
      </c>
    </row>
    <row r="3707" spans="1:13">
      <c r="A3707">
        <v>3701</v>
      </c>
      <c r="B3707">
        <v>66722</v>
      </c>
      <c r="C3707" t="s">
        <v>7973</v>
      </c>
      <c r="D3707" t="s">
        <v>105</v>
      </c>
      <c r="E3707" t="s">
        <v>7974</v>
      </c>
      <c r="F3707" t="str">
        <f>"00403791"</f>
        <v>00403791</v>
      </c>
      <c r="G3707" t="s">
        <v>1239</v>
      </c>
      <c r="H3707" t="s">
        <v>1240</v>
      </c>
      <c r="I3707">
        <v>1368</v>
      </c>
      <c r="J3707" t="s">
        <v>21</v>
      </c>
      <c r="K3707">
        <v>0</v>
      </c>
      <c r="M3707">
        <v>1488</v>
      </c>
    </row>
    <row r="3708" spans="1:13">
      <c r="A3708">
        <v>3702</v>
      </c>
      <c r="B3708">
        <v>82210</v>
      </c>
      <c r="C3708" t="s">
        <v>7975</v>
      </c>
      <c r="D3708" t="s">
        <v>205</v>
      </c>
      <c r="E3708" t="s">
        <v>7976</v>
      </c>
      <c r="F3708" t="str">
        <f>"00389063"</f>
        <v>00389063</v>
      </c>
      <c r="G3708" t="s">
        <v>125</v>
      </c>
      <c r="H3708" t="s">
        <v>20</v>
      </c>
      <c r="I3708">
        <v>1507</v>
      </c>
      <c r="J3708" t="s">
        <v>21</v>
      </c>
      <c r="K3708">
        <v>0</v>
      </c>
      <c r="L3708" t="s">
        <v>35</v>
      </c>
      <c r="M3708">
        <v>970</v>
      </c>
    </row>
    <row r="3709" spans="1:13">
      <c r="A3709">
        <v>3703</v>
      </c>
      <c r="B3709">
        <v>101099</v>
      </c>
      <c r="C3709" t="s">
        <v>7977</v>
      </c>
      <c r="D3709" t="s">
        <v>180</v>
      </c>
      <c r="E3709" t="s">
        <v>7978</v>
      </c>
      <c r="F3709" t="str">
        <f>"00396096"</f>
        <v>00396096</v>
      </c>
      <c r="G3709" t="s">
        <v>883</v>
      </c>
      <c r="H3709" t="s">
        <v>270</v>
      </c>
      <c r="I3709">
        <v>1585</v>
      </c>
      <c r="J3709" t="s">
        <v>21</v>
      </c>
      <c r="K3709">
        <v>0</v>
      </c>
      <c r="L3709" t="s">
        <v>112</v>
      </c>
      <c r="M3709">
        <v>906</v>
      </c>
    </row>
    <row r="3710" spans="1:13">
      <c r="A3710">
        <v>3704</v>
      </c>
      <c r="B3710">
        <v>87567</v>
      </c>
      <c r="C3710" t="s">
        <v>7979</v>
      </c>
      <c r="D3710" t="s">
        <v>243</v>
      </c>
      <c r="E3710" t="s">
        <v>7980</v>
      </c>
      <c r="F3710" t="str">
        <f>"00248363"</f>
        <v>00248363</v>
      </c>
      <c r="G3710" t="s">
        <v>583</v>
      </c>
      <c r="H3710" t="s">
        <v>137</v>
      </c>
      <c r="I3710">
        <v>1601</v>
      </c>
      <c r="J3710" t="s">
        <v>21</v>
      </c>
      <c r="K3710">
        <v>0</v>
      </c>
      <c r="L3710" t="s">
        <v>35</v>
      </c>
      <c r="M3710">
        <v>908</v>
      </c>
    </row>
    <row r="3711" spans="1:13">
      <c r="A3711">
        <v>3705</v>
      </c>
      <c r="B3711">
        <v>53484</v>
      </c>
      <c r="C3711" t="s">
        <v>7981</v>
      </c>
      <c r="D3711" t="s">
        <v>76</v>
      </c>
      <c r="E3711" t="s">
        <v>7982</v>
      </c>
      <c r="F3711" t="str">
        <f>"00223866"</f>
        <v>00223866</v>
      </c>
      <c r="G3711" t="s">
        <v>107</v>
      </c>
      <c r="H3711" t="s">
        <v>20</v>
      </c>
      <c r="I3711">
        <v>1472</v>
      </c>
      <c r="J3711" t="s">
        <v>21</v>
      </c>
      <c r="K3711">
        <v>0</v>
      </c>
      <c r="M3711">
        <v>1428</v>
      </c>
    </row>
    <row r="3712" spans="1:13">
      <c r="A3712">
        <v>3706</v>
      </c>
      <c r="B3712">
        <v>90299</v>
      </c>
      <c r="C3712" t="s">
        <v>7983</v>
      </c>
      <c r="D3712" t="s">
        <v>243</v>
      </c>
      <c r="E3712" t="s">
        <v>7984</v>
      </c>
      <c r="F3712" t="str">
        <f>"00421430"</f>
        <v>00421430</v>
      </c>
      <c r="G3712" t="s">
        <v>211</v>
      </c>
      <c r="H3712" t="s">
        <v>48</v>
      </c>
      <c r="I3712">
        <v>1628</v>
      </c>
      <c r="J3712" t="s">
        <v>21</v>
      </c>
      <c r="K3712">
        <v>0</v>
      </c>
      <c r="L3712" t="s">
        <v>59</v>
      </c>
      <c r="M3712">
        <v>914</v>
      </c>
    </row>
    <row r="3713" spans="1:13">
      <c r="A3713">
        <v>3707</v>
      </c>
      <c r="B3713">
        <v>83586</v>
      </c>
      <c r="C3713" t="s">
        <v>7985</v>
      </c>
      <c r="D3713" t="s">
        <v>700</v>
      </c>
      <c r="E3713" t="s">
        <v>7986</v>
      </c>
      <c r="F3713" t="str">
        <f>"00385677"</f>
        <v>00385677</v>
      </c>
      <c r="G3713" t="s">
        <v>465</v>
      </c>
      <c r="H3713" t="s">
        <v>20</v>
      </c>
      <c r="I3713">
        <v>1534</v>
      </c>
      <c r="J3713" t="s">
        <v>21</v>
      </c>
      <c r="K3713">
        <v>0</v>
      </c>
      <c r="L3713" t="s">
        <v>59</v>
      </c>
      <c r="M3713">
        <v>838</v>
      </c>
    </row>
    <row r="3714" spans="1:13">
      <c r="A3714">
        <v>3708</v>
      </c>
      <c r="B3714">
        <v>47365</v>
      </c>
      <c r="C3714" t="s">
        <v>7987</v>
      </c>
      <c r="D3714" t="s">
        <v>102</v>
      </c>
      <c r="E3714" t="s">
        <v>7988</v>
      </c>
      <c r="F3714" t="str">
        <f>"00309067"</f>
        <v>00309067</v>
      </c>
      <c r="G3714" t="s">
        <v>211</v>
      </c>
      <c r="H3714" t="s">
        <v>48</v>
      </c>
      <c r="I3714">
        <v>1628</v>
      </c>
      <c r="J3714" t="s">
        <v>21</v>
      </c>
      <c r="K3714">
        <v>0</v>
      </c>
      <c r="M3714">
        <v>1628</v>
      </c>
    </row>
    <row r="3715" spans="1:13">
      <c r="A3715">
        <v>3709</v>
      </c>
      <c r="B3715">
        <v>84329</v>
      </c>
      <c r="C3715" t="s">
        <v>7989</v>
      </c>
      <c r="D3715" t="s">
        <v>105</v>
      </c>
      <c r="E3715" t="s">
        <v>7990</v>
      </c>
      <c r="F3715" t="str">
        <f>"00279380"</f>
        <v>00279380</v>
      </c>
      <c r="G3715" t="s">
        <v>488</v>
      </c>
      <c r="H3715" t="s">
        <v>20</v>
      </c>
      <c r="I3715">
        <v>1482</v>
      </c>
      <c r="J3715" t="s">
        <v>21</v>
      </c>
      <c r="K3715">
        <v>0</v>
      </c>
      <c r="L3715" t="s">
        <v>35</v>
      </c>
      <c r="M3715">
        <v>900</v>
      </c>
    </row>
    <row r="3716" spans="1:13">
      <c r="A3716">
        <v>3710</v>
      </c>
      <c r="B3716">
        <v>48905</v>
      </c>
      <c r="C3716" t="s">
        <v>7991</v>
      </c>
      <c r="D3716" t="s">
        <v>7992</v>
      </c>
      <c r="E3716" t="s">
        <v>7993</v>
      </c>
      <c r="F3716" t="str">
        <f>"00369756"</f>
        <v>00369756</v>
      </c>
      <c r="G3716" t="s">
        <v>150</v>
      </c>
      <c r="H3716" t="s">
        <v>151</v>
      </c>
      <c r="I3716">
        <v>1699</v>
      </c>
      <c r="J3716" t="s">
        <v>21</v>
      </c>
      <c r="K3716">
        <v>0</v>
      </c>
      <c r="M3716">
        <v>1528</v>
      </c>
    </row>
    <row r="3717" spans="1:13">
      <c r="A3717">
        <v>3711</v>
      </c>
      <c r="B3717">
        <v>63182</v>
      </c>
      <c r="C3717" t="s">
        <v>7994</v>
      </c>
      <c r="D3717" t="s">
        <v>711</v>
      </c>
      <c r="E3717" t="s">
        <v>7995</v>
      </c>
      <c r="F3717" t="str">
        <f>"00020220"</f>
        <v>00020220</v>
      </c>
      <c r="G3717" t="s">
        <v>107</v>
      </c>
      <c r="H3717" t="s">
        <v>20</v>
      </c>
      <c r="I3717">
        <v>1472</v>
      </c>
      <c r="J3717" t="s">
        <v>21</v>
      </c>
      <c r="K3717">
        <v>0</v>
      </c>
      <c r="L3717" t="s">
        <v>35</v>
      </c>
      <c r="M3717">
        <v>970</v>
      </c>
    </row>
    <row r="3718" spans="1:13">
      <c r="A3718">
        <v>3712</v>
      </c>
      <c r="B3718">
        <v>74330</v>
      </c>
      <c r="C3718" t="s">
        <v>7996</v>
      </c>
      <c r="D3718" t="s">
        <v>94</v>
      </c>
      <c r="E3718" t="s">
        <v>7997</v>
      </c>
      <c r="F3718" t="str">
        <f>"00237187"</f>
        <v>00237187</v>
      </c>
      <c r="G3718" t="s">
        <v>4039</v>
      </c>
      <c r="H3718" t="s">
        <v>137</v>
      </c>
      <c r="I3718">
        <v>1611</v>
      </c>
      <c r="J3718" t="s">
        <v>21</v>
      </c>
      <c r="K3718">
        <v>7</v>
      </c>
      <c r="M3718">
        <v>1128</v>
      </c>
    </row>
    <row r="3719" spans="1:13">
      <c r="A3719">
        <v>3713</v>
      </c>
      <c r="B3719">
        <v>67758</v>
      </c>
      <c r="C3719" t="s">
        <v>7998</v>
      </c>
      <c r="D3719" t="s">
        <v>76</v>
      </c>
      <c r="E3719" t="s">
        <v>7999</v>
      </c>
      <c r="F3719" t="str">
        <f>"00257715"</f>
        <v>00257715</v>
      </c>
      <c r="G3719" t="s">
        <v>24</v>
      </c>
      <c r="H3719" t="s">
        <v>20</v>
      </c>
      <c r="I3719">
        <v>1577</v>
      </c>
      <c r="J3719" t="s">
        <v>21</v>
      </c>
      <c r="K3719">
        <v>0</v>
      </c>
      <c r="M3719">
        <v>1328</v>
      </c>
    </row>
    <row r="3720" spans="1:13">
      <c r="A3720">
        <v>3714</v>
      </c>
      <c r="B3720">
        <v>62669</v>
      </c>
      <c r="C3720" t="s">
        <v>8000</v>
      </c>
      <c r="D3720" t="s">
        <v>80</v>
      </c>
      <c r="E3720" t="s">
        <v>8001</v>
      </c>
      <c r="F3720" t="str">
        <f>"00351854"</f>
        <v>00351854</v>
      </c>
      <c r="G3720" t="s">
        <v>365</v>
      </c>
      <c r="H3720" t="s">
        <v>366</v>
      </c>
      <c r="I3720">
        <v>1692</v>
      </c>
      <c r="J3720" t="s">
        <v>21</v>
      </c>
      <c r="K3720">
        <v>0</v>
      </c>
      <c r="M3720">
        <v>1690</v>
      </c>
    </row>
    <row r="3721" spans="1:13">
      <c r="A3721">
        <v>3715</v>
      </c>
      <c r="B3721">
        <v>76990</v>
      </c>
      <c r="C3721" t="s">
        <v>8002</v>
      </c>
      <c r="D3721" t="s">
        <v>76</v>
      </c>
      <c r="E3721" t="s">
        <v>8003</v>
      </c>
      <c r="F3721" t="str">
        <f>"00383321"</f>
        <v>00383321</v>
      </c>
      <c r="G3721" t="s">
        <v>125</v>
      </c>
      <c r="H3721" t="s">
        <v>20</v>
      </c>
      <c r="I3721">
        <v>1507</v>
      </c>
      <c r="J3721" t="s">
        <v>21</v>
      </c>
      <c r="K3721">
        <v>0</v>
      </c>
      <c r="M3721">
        <v>1493</v>
      </c>
    </row>
    <row r="3722" spans="1:13">
      <c r="A3722">
        <v>3716</v>
      </c>
      <c r="B3722">
        <v>92625</v>
      </c>
      <c r="C3722" t="s">
        <v>8004</v>
      </c>
      <c r="D3722" t="s">
        <v>109</v>
      </c>
      <c r="E3722" t="s">
        <v>8005</v>
      </c>
      <c r="F3722" t="str">
        <f>"201310000017"</f>
        <v>201310000017</v>
      </c>
      <c r="G3722" t="s">
        <v>511</v>
      </c>
      <c r="H3722" t="s">
        <v>3640</v>
      </c>
      <c r="I3722">
        <v>1713</v>
      </c>
      <c r="J3722" t="s">
        <v>21</v>
      </c>
      <c r="K3722">
        <v>6</v>
      </c>
      <c r="L3722" t="s">
        <v>35</v>
      </c>
      <c r="M3722">
        <v>908</v>
      </c>
    </row>
    <row r="3723" spans="1:13">
      <c r="A3723">
        <v>3717</v>
      </c>
      <c r="B3723">
        <v>94820</v>
      </c>
      <c r="C3723" t="s">
        <v>8006</v>
      </c>
      <c r="D3723" t="s">
        <v>109</v>
      </c>
      <c r="E3723" t="s">
        <v>8007</v>
      </c>
      <c r="F3723" t="str">
        <f>"201601001309"</f>
        <v>201601001309</v>
      </c>
      <c r="G3723" t="s">
        <v>8008</v>
      </c>
      <c r="H3723" t="s">
        <v>20</v>
      </c>
      <c r="I3723">
        <v>1467</v>
      </c>
      <c r="J3723" t="s">
        <v>21</v>
      </c>
      <c r="K3723">
        <v>6</v>
      </c>
      <c r="M3723">
        <v>1282</v>
      </c>
    </row>
    <row r="3724" spans="1:13">
      <c r="A3724">
        <v>3718</v>
      </c>
      <c r="B3724">
        <v>74912</v>
      </c>
      <c r="C3724" t="s">
        <v>8009</v>
      </c>
      <c r="D3724" t="s">
        <v>85</v>
      </c>
      <c r="E3724" t="s">
        <v>8010</v>
      </c>
      <c r="F3724" t="str">
        <f>"00405421"</f>
        <v>00405421</v>
      </c>
      <c r="G3724" t="s">
        <v>1890</v>
      </c>
      <c r="H3724" t="s">
        <v>3499</v>
      </c>
      <c r="I3724">
        <v>1672</v>
      </c>
      <c r="J3724" t="s">
        <v>21</v>
      </c>
      <c r="K3724">
        <v>0</v>
      </c>
      <c r="L3724" t="s">
        <v>35</v>
      </c>
      <c r="M3724">
        <v>960</v>
      </c>
    </row>
    <row r="3725" spans="1:13">
      <c r="A3725">
        <v>3719</v>
      </c>
      <c r="B3725">
        <v>64776</v>
      </c>
      <c r="C3725" t="s">
        <v>8011</v>
      </c>
      <c r="D3725" t="s">
        <v>1001</v>
      </c>
      <c r="E3725" t="s">
        <v>8012</v>
      </c>
      <c r="F3725" t="str">
        <f>"00362428"</f>
        <v>00362428</v>
      </c>
      <c r="G3725" t="s">
        <v>2055</v>
      </c>
      <c r="H3725" t="s">
        <v>8013</v>
      </c>
      <c r="I3725">
        <v>1358</v>
      </c>
      <c r="J3725" t="s">
        <v>21</v>
      </c>
      <c r="K3725">
        <v>0</v>
      </c>
      <c r="M3725">
        <v>1438</v>
      </c>
    </row>
    <row r="3726" spans="1:13">
      <c r="A3726">
        <v>3720</v>
      </c>
      <c r="B3726">
        <v>68355</v>
      </c>
      <c r="C3726" t="s">
        <v>8014</v>
      </c>
      <c r="D3726" t="s">
        <v>90</v>
      </c>
      <c r="E3726" t="s">
        <v>8015</v>
      </c>
      <c r="F3726" t="str">
        <f>"00253163"</f>
        <v>00253163</v>
      </c>
      <c r="G3726" t="s">
        <v>47</v>
      </c>
      <c r="H3726" t="s">
        <v>48</v>
      </c>
      <c r="I3726">
        <v>1623</v>
      </c>
      <c r="J3726" t="s">
        <v>21</v>
      </c>
      <c r="K3726">
        <v>0</v>
      </c>
      <c r="L3726" t="s">
        <v>35</v>
      </c>
      <c r="M3726">
        <v>911</v>
      </c>
    </row>
    <row r="3727" spans="1:13">
      <c r="A3727">
        <v>3721</v>
      </c>
      <c r="B3727">
        <v>69303</v>
      </c>
      <c r="C3727" t="s">
        <v>8016</v>
      </c>
      <c r="D3727" t="s">
        <v>76</v>
      </c>
      <c r="E3727" t="s">
        <v>8017</v>
      </c>
      <c r="F3727" t="str">
        <f>"201510001078"</f>
        <v>201510001078</v>
      </c>
      <c r="G3727" t="s">
        <v>42</v>
      </c>
      <c r="H3727" t="s">
        <v>43</v>
      </c>
      <c r="I3727">
        <v>1712</v>
      </c>
      <c r="J3727" t="s">
        <v>21</v>
      </c>
      <c r="K3727">
        <v>0</v>
      </c>
      <c r="L3727" t="s">
        <v>35</v>
      </c>
      <c r="M3727">
        <v>1000</v>
      </c>
    </row>
    <row r="3728" spans="1:13">
      <c r="A3728">
        <v>3722</v>
      </c>
      <c r="B3728">
        <v>99843</v>
      </c>
      <c r="C3728" t="s">
        <v>8018</v>
      </c>
      <c r="D3728" t="s">
        <v>102</v>
      </c>
      <c r="E3728" t="s">
        <v>8019</v>
      </c>
      <c r="F3728" t="str">
        <f>"00326032"</f>
        <v>00326032</v>
      </c>
      <c r="G3728" t="s">
        <v>1345</v>
      </c>
      <c r="H3728" t="s">
        <v>137</v>
      </c>
      <c r="I3728">
        <v>1606</v>
      </c>
      <c r="J3728" t="s">
        <v>21</v>
      </c>
      <c r="K3728">
        <v>0</v>
      </c>
      <c r="L3728" t="s">
        <v>59</v>
      </c>
      <c r="M3728">
        <v>1128</v>
      </c>
    </row>
    <row r="3729" spans="1:13">
      <c r="A3729">
        <v>3723</v>
      </c>
      <c r="B3729">
        <v>93214</v>
      </c>
      <c r="C3729" t="s">
        <v>8020</v>
      </c>
      <c r="D3729" t="s">
        <v>105</v>
      </c>
      <c r="E3729" t="s">
        <v>8021</v>
      </c>
      <c r="F3729" t="str">
        <f>"201603000640"</f>
        <v>201603000640</v>
      </c>
      <c r="G3729" t="s">
        <v>2142</v>
      </c>
      <c r="H3729" t="s">
        <v>20</v>
      </c>
      <c r="I3729">
        <v>1423</v>
      </c>
      <c r="J3729" t="s">
        <v>21</v>
      </c>
      <c r="K3729">
        <v>0</v>
      </c>
      <c r="M3729">
        <v>1668</v>
      </c>
    </row>
    <row r="3730" spans="1:13">
      <c r="A3730">
        <v>3724</v>
      </c>
      <c r="B3730">
        <v>114016</v>
      </c>
      <c r="C3730" t="s">
        <v>8022</v>
      </c>
      <c r="D3730" t="s">
        <v>209</v>
      </c>
      <c r="E3730" t="s">
        <v>8023</v>
      </c>
      <c r="F3730" t="str">
        <f>"00406548"</f>
        <v>00406548</v>
      </c>
      <c r="G3730" t="s">
        <v>107</v>
      </c>
      <c r="H3730" t="s">
        <v>20</v>
      </c>
      <c r="I3730">
        <v>1472</v>
      </c>
      <c r="J3730" t="s">
        <v>21</v>
      </c>
      <c r="K3730">
        <v>0</v>
      </c>
      <c r="M3730">
        <v>1388</v>
      </c>
    </row>
    <row r="3731" spans="1:13">
      <c r="A3731">
        <v>3725</v>
      </c>
      <c r="B3731">
        <v>87972</v>
      </c>
      <c r="C3731" t="s">
        <v>8024</v>
      </c>
      <c r="D3731" t="s">
        <v>80</v>
      </c>
      <c r="E3731" t="s">
        <v>8025</v>
      </c>
      <c r="F3731" t="str">
        <f>"00401252"</f>
        <v>00401252</v>
      </c>
      <c r="G3731" t="s">
        <v>511</v>
      </c>
      <c r="H3731" t="s">
        <v>3640</v>
      </c>
      <c r="I3731">
        <v>1713</v>
      </c>
      <c r="J3731" t="s">
        <v>21</v>
      </c>
      <c r="K3731">
        <v>6</v>
      </c>
      <c r="M3731">
        <v>1581</v>
      </c>
    </row>
    <row r="3732" spans="1:13">
      <c r="A3732">
        <v>3726</v>
      </c>
      <c r="B3732">
        <v>103807</v>
      </c>
      <c r="C3732" t="s">
        <v>8026</v>
      </c>
      <c r="D3732" t="s">
        <v>213</v>
      </c>
      <c r="E3732" t="s">
        <v>8027</v>
      </c>
      <c r="F3732" t="str">
        <f>"00400576"</f>
        <v>00400576</v>
      </c>
      <c r="G3732" t="s">
        <v>626</v>
      </c>
      <c r="H3732" t="s">
        <v>234</v>
      </c>
      <c r="I3732">
        <v>1327</v>
      </c>
      <c r="J3732" t="s">
        <v>21</v>
      </c>
      <c r="K3732">
        <v>0</v>
      </c>
      <c r="L3732" t="s">
        <v>59</v>
      </c>
      <c r="M3732">
        <v>1368</v>
      </c>
    </row>
    <row r="3733" spans="1:13">
      <c r="A3733">
        <v>3727</v>
      </c>
      <c r="B3733">
        <v>74461</v>
      </c>
      <c r="C3733" t="s">
        <v>8028</v>
      </c>
      <c r="D3733" t="s">
        <v>130</v>
      </c>
      <c r="E3733" t="s">
        <v>8029</v>
      </c>
      <c r="F3733" t="str">
        <f>"00273916"</f>
        <v>00273916</v>
      </c>
      <c r="G3733" t="s">
        <v>47</v>
      </c>
      <c r="H3733" t="s">
        <v>48</v>
      </c>
      <c r="I3733">
        <v>1623</v>
      </c>
      <c r="J3733" t="s">
        <v>21</v>
      </c>
      <c r="K3733">
        <v>0</v>
      </c>
      <c r="L3733" t="s">
        <v>35</v>
      </c>
      <c r="M3733">
        <v>858</v>
      </c>
    </row>
    <row r="3734" spans="1:13">
      <c r="A3734">
        <v>3728</v>
      </c>
      <c r="B3734">
        <v>75347</v>
      </c>
      <c r="C3734" t="s">
        <v>8030</v>
      </c>
      <c r="D3734" t="s">
        <v>163</v>
      </c>
      <c r="E3734" t="s">
        <v>8031</v>
      </c>
      <c r="F3734" t="str">
        <f>"00381517"</f>
        <v>00381517</v>
      </c>
      <c r="G3734" t="s">
        <v>1753</v>
      </c>
      <c r="H3734" t="s">
        <v>20</v>
      </c>
      <c r="I3734">
        <v>1544</v>
      </c>
      <c r="J3734" t="s">
        <v>21</v>
      </c>
      <c r="K3734">
        <v>0</v>
      </c>
      <c r="L3734" t="s">
        <v>59</v>
      </c>
      <c r="M3734">
        <v>1038</v>
      </c>
    </row>
    <row r="3735" spans="1:13">
      <c r="A3735">
        <v>3729</v>
      </c>
      <c r="B3735">
        <v>53542</v>
      </c>
      <c r="C3735" t="s">
        <v>8032</v>
      </c>
      <c r="D3735" t="s">
        <v>145</v>
      </c>
      <c r="E3735" t="s">
        <v>8033</v>
      </c>
      <c r="F3735" t="str">
        <f>"00342019"</f>
        <v>00342019</v>
      </c>
      <c r="G3735" t="s">
        <v>215</v>
      </c>
      <c r="H3735" t="s">
        <v>216</v>
      </c>
      <c r="I3735">
        <v>1708</v>
      </c>
      <c r="J3735" t="s">
        <v>21</v>
      </c>
      <c r="K3735">
        <v>6</v>
      </c>
      <c r="M3735">
        <v>1428</v>
      </c>
    </row>
    <row r="3736" spans="1:13">
      <c r="A3736">
        <v>3730</v>
      </c>
      <c r="B3736">
        <v>57182</v>
      </c>
      <c r="C3736" t="s">
        <v>8034</v>
      </c>
      <c r="D3736" t="s">
        <v>105</v>
      </c>
      <c r="E3736" t="s">
        <v>8035</v>
      </c>
      <c r="F3736" t="str">
        <f>"00256272"</f>
        <v>00256272</v>
      </c>
      <c r="G3736" t="s">
        <v>100</v>
      </c>
      <c r="H3736" t="s">
        <v>20</v>
      </c>
      <c r="I3736">
        <v>1468</v>
      </c>
      <c r="J3736" t="s">
        <v>21</v>
      </c>
      <c r="K3736">
        <v>0</v>
      </c>
      <c r="L3736" t="s">
        <v>35</v>
      </c>
      <c r="M3736">
        <v>1058</v>
      </c>
    </row>
    <row r="3737" spans="1:13">
      <c r="A3737">
        <v>3731</v>
      </c>
      <c r="B3737">
        <v>78899</v>
      </c>
      <c r="C3737" t="s">
        <v>8036</v>
      </c>
      <c r="D3737" t="s">
        <v>94</v>
      </c>
      <c r="E3737" t="s">
        <v>8037</v>
      </c>
      <c r="F3737" t="str">
        <f>"00356065"</f>
        <v>00356065</v>
      </c>
      <c r="G3737" t="s">
        <v>96</v>
      </c>
      <c r="H3737" t="s">
        <v>20</v>
      </c>
      <c r="I3737">
        <v>1474</v>
      </c>
      <c r="J3737" t="s">
        <v>21</v>
      </c>
      <c r="K3737">
        <v>0</v>
      </c>
      <c r="L3737" t="s">
        <v>83</v>
      </c>
      <c r="M3737">
        <v>1288</v>
      </c>
    </row>
    <row r="3738" spans="1:13">
      <c r="A3738">
        <v>3732</v>
      </c>
      <c r="B3738">
        <v>51662</v>
      </c>
      <c r="C3738" t="s">
        <v>8036</v>
      </c>
      <c r="D3738" t="s">
        <v>3178</v>
      </c>
      <c r="E3738" t="s">
        <v>8038</v>
      </c>
      <c r="F3738" t="str">
        <f>"00349203"</f>
        <v>00349203</v>
      </c>
      <c r="G3738" t="s">
        <v>107</v>
      </c>
      <c r="H3738" t="s">
        <v>20</v>
      </c>
      <c r="I3738">
        <v>1472</v>
      </c>
      <c r="J3738" t="s">
        <v>21</v>
      </c>
      <c r="K3738">
        <v>0</v>
      </c>
      <c r="L3738" t="s">
        <v>35</v>
      </c>
      <c r="M3738">
        <v>1008</v>
      </c>
    </row>
    <row r="3739" spans="1:13">
      <c r="A3739">
        <v>3733</v>
      </c>
      <c r="B3739">
        <v>106607</v>
      </c>
      <c r="C3739" t="s">
        <v>8039</v>
      </c>
      <c r="D3739" t="s">
        <v>507</v>
      </c>
      <c r="E3739" t="s">
        <v>8040</v>
      </c>
      <c r="F3739" t="str">
        <f>"00376150"</f>
        <v>00376150</v>
      </c>
      <c r="G3739" t="s">
        <v>19</v>
      </c>
      <c r="H3739" t="s">
        <v>20</v>
      </c>
      <c r="I3739">
        <v>1531</v>
      </c>
      <c r="J3739" t="s">
        <v>21</v>
      </c>
      <c r="K3739">
        <v>0</v>
      </c>
      <c r="M3739">
        <v>1478</v>
      </c>
    </row>
    <row r="3740" spans="1:13">
      <c r="A3740">
        <v>3734</v>
      </c>
      <c r="B3740">
        <v>46482</v>
      </c>
      <c r="C3740" t="s">
        <v>8041</v>
      </c>
      <c r="D3740" t="s">
        <v>391</v>
      </c>
      <c r="E3740" t="s">
        <v>8042</v>
      </c>
      <c r="F3740" t="str">
        <f>"00309343"</f>
        <v>00309343</v>
      </c>
      <c r="G3740" t="s">
        <v>1595</v>
      </c>
      <c r="H3740" t="s">
        <v>20</v>
      </c>
      <c r="I3740">
        <v>1538</v>
      </c>
      <c r="J3740" t="s">
        <v>21</v>
      </c>
      <c r="K3740">
        <v>6</v>
      </c>
      <c r="L3740" t="s">
        <v>35</v>
      </c>
      <c r="M3740">
        <v>750</v>
      </c>
    </row>
    <row r="3741" spans="1:13">
      <c r="A3741">
        <v>3735</v>
      </c>
      <c r="B3741">
        <v>97572</v>
      </c>
      <c r="C3741" t="s">
        <v>8043</v>
      </c>
      <c r="D3741" t="s">
        <v>243</v>
      </c>
      <c r="E3741" t="s">
        <v>8044</v>
      </c>
      <c r="F3741" t="str">
        <f>"201511007230"</f>
        <v>201511007230</v>
      </c>
      <c r="G3741" t="s">
        <v>2851</v>
      </c>
      <c r="H3741" t="s">
        <v>274</v>
      </c>
      <c r="I3741">
        <v>1394</v>
      </c>
      <c r="J3741" t="s">
        <v>21</v>
      </c>
      <c r="K3741">
        <v>0</v>
      </c>
      <c r="L3741" t="s">
        <v>35</v>
      </c>
      <c r="M3741">
        <v>1006</v>
      </c>
    </row>
    <row r="3742" spans="1:13">
      <c r="A3742">
        <v>3736</v>
      </c>
      <c r="B3742">
        <v>111189</v>
      </c>
      <c r="C3742" t="s">
        <v>8045</v>
      </c>
      <c r="D3742" t="s">
        <v>130</v>
      </c>
      <c r="E3742" t="s">
        <v>8046</v>
      </c>
      <c r="F3742" t="str">
        <f>"00367001"</f>
        <v>00367001</v>
      </c>
      <c r="G3742" t="s">
        <v>47</v>
      </c>
      <c r="H3742" t="s">
        <v>48</v>
      </c>
      <c r="I3742">
        <v>1623</v>
      </c>
      <c r="J3742" t="s">
        <v>21</v>
      </c>
      <c r="K3742">
        <v>0</v>
      </c>
      <c r="M3742">
        <v>1328</v>
      </c>
    </row>
    <row r="3743" spans="1:13">
      <c r="A3743">
        <v>3737</v>
      </c>
      <c r="B3743">
        <v>50034</v>
      </c>
      <c r="C3743" t="s">
        <v>8047</v>
      </c>
      <c r="D3743" t="s">
        <v>391</v>
      </c>
      <c r="E3743" t="s">
        <v>8048</v>
      </c>
      <c r="F3743" t="str">
        <f>"00331767"</f>
        <v>00331767</v>
      </c>
      <c r="G3743" t="s">
        <v>600</v>
      </c>
      <c r="H3743" t="s">
        <v>366</v>
      </c>
      <c r="I3743">
        <v>1694</v>
      </c>
      <c r="J3743" t="s">
        <v>21</v>
      </c>
      <c r="K3743">
        <v>0</v>
      </c>
      <c r="L3743" t="s">
        <v>35</v>
      </c>
      <c r="M3743">
        <v>840</v>
      </c>
    </row>
    <row r="3744" spans="1:13">
      <c r="A3744">
        <v>3738</v>
      </c>
      <c r="B3744">
        <v>82762</v>
      </c>
      <c r="C3744" t="s">
        <v>8049</v>
      </c>
      <c r="D3744" t="s">
        <v>76</v>
      </c>
      <c r="E3744" t="s">
        <v>8050</v>
      </c>
      <c r="F3744" t="str">
        <f>"00357032"</f>
        <v>00357032</v>
      </c>
      <c r="G3744" t="s">
        <v>380</v>
      </c>
      <c r="H3744" t="s">
        <v>137</v>
      </c>
      <c r="I3744">
        <v>1615</v>
      </c>
      <c r="J3744" t="s">
        <v>21</v>
      </c>
      <c r="K3744">
        <v>0</v>
      </c>
      <c r="L3744" t="s">
        <v>35</v>
      </c>
      <c r="M3744">
        <v>1108</v>
      </c>
    </row>
    <row r="3745" spans="1:13">
      <c r="A3745">
        <v>3739</v>
      </c>
      <c r="B3745">
        <v>51042</v>
      </c>
      <c r="C3745" t="s">
        <v>8051</v>
      </c>
      <c r="D3745" t="s">
        <v>105</v>
      </c>
      <c r="E3745" t="s">
        <v>8052</v>
      </c>
      <c r="F3745" t="str">
        <f>"00358499"</f>
        <v>00358499</v>
      </c>
      <c r="G3745" t="s">
        <v>245</v>
      </c>
      <c r="H3745" t="s">
        <v>20</v>
      </c>
      <c r="I3745">
        <v>1406</v>
      </c>
      <c r="J3745" t="s">
        <v>21</v>
      </c>
      <c r="K3745">
        <v>0</v>
      </c>
      <c r="M3745">
        <v>1788</v>
      </c>
    </row>
    <row r="3746" spans="1:13">
      <c r="A3746">
        <v>3740</v>
      </c>
      <c r="B3746">
        <v>85162</v>
      </c>
      <c r="C3746" t="s">
        <v>8053</v>
      </c>
      <c r="D3746" t="s">
        <v>180</v>
      </c>
      <c r="E3746" t="s">
        <v>8054</v>
      </c>
      <c r="F3746" t="str">
        <f>"00285024"</f>
        <v>00285024</v>
      </c>
      <c r="G3746" t="s">
        <v>1682</v>
      </c>
      <c r="H3746" t="s">
        <v>241</v>
      </c>
      <c r="I3746">
        <v>1363</v>
      </c>
      <c r="J3746" t="s">
        <v>21</v>
      </c>
      <c r="K3746">
        <v>0</v>
      </c>
      <c r="L3746" t="s">
        <v>35</v>
      </c>
      <c r="M3746">
        <v>1008</v>
      </c>
    </row>
    <row r="3747" spans="1:13">
      <c r="A3747">
        <v>3741</v>
      </c>
      <c r="B3747">
        <v>62363</v>
      </c>
      <c r="C3747" t="s">
        <v>8055</v>
      </c>
      <c r="D3747" t="s">
        <v>153</v>
      </c>
      <c r="E3747" t="s">
        <v>8056</v>
      </c>
      <c r="F3747" t="str">
        <f>"00357563"</f>
        <v>00357563</v>
      </c>
      <c r="G3747" t="s">
        <v>603</v>
      </c>
      <c r="H3747" t="s">
        <v>20</v>
      </c>
      <c r="I3747">
        <v>1464</v>
      </c>
      <c r="J3747" t="s">
        <v>21</v>
      </c>
      <c r="K3747">
        <v>0</v>
      </c>
      <c r="L3747" t="s">
        <v>35</v>
      </c>
      <c r="M3747">
        <v>1100</v>
      </c>
    </row>
    <row r="3748" spans="1:13">
      <c r="A3748">
        <v>3742</v>
      </c>
      <c r="B3748">
        <v>97102</v>
      </c>
      <c r="C3748" t="s">
        <v>8057</v>
      </c>
      <c r="D3748" t="s">
        <v>243</v>
      </c>
      <c r="E3748" t="s">
        <v>8058</v>
      </c>
      <c r="F3748" t="str">
        <f>"00399902"</f>
        <v>00399902</v>
      </c>
      <c r="G3748" t="s">
        <v>47</v>
      </c>
      <c r="H3748" t="s">
        <v>48</v>
      </c>
      <c r="I3748">
        <v>1623</v>
      </c>
      <c r="J3748" t="s">
        <v>21</v>
      </c>
      <c r="K3748">
        <v>0</v>
      </c>
      <c r="L3748" t="s">
        <v>59</v>
      </c>
      <c r="M3748">
        <v>960</v>
      </c>
    </row>
    <row r="3749" spans="1:13">
      <c r="A3749">
        <v>3743</v>
      </c>
      <c r="B3749">
        <v>78533</v>
      </c>
      <c r="C3749" t="s">
        <v>8059</v>
      </c>
      <c r="D3749" t="s">
        <v>76</v>
      </c>
      <c r="E3749" t="s">
        <v>8060</v>
      </c>
      <c r="F3749" t="str">
        <f>"00319674"</f>
        <v>00319674</v>
      </c>
      <c r="G3749" t="s">
        <v>190</v>
      </c>
      <c r="H3749" t="s">
        <v>191</v>
      </c>
      <c r="I3749">
        <v>1618</v>
      </c>
      <c r="J3749" t="s">
        <v>21</v>
      </c>
      <c r="K3749">
        <v>0</v>
      </c>
      <c r="M3749">
        <v>1388</v>
      </c>
    </row>
    <row r="3750" spans="1:13">
      <c r="A3750">
        <v>3744</v>
      </c>
      <c r="B3750">
        <v>53575</v>
      </c>
      <c r="C3750" t="s">
        <v>8061</v>
      </c>
      <c r="D3750" t="s">
        <v>180</v>
      </c>
      <c r="E3750" t="s">
        <v>8062</v>
      </c>
      <c r="F3750" t="str">
        <f>"00361055"</f>
        <v>00361055</v>
      </c>
      <c r="G3750" t="s">
        <v>230</v>
      </c>
      <c r="H3750" t="s">
        <v>20</v>
      </c>
      <c r="I3750">
        <v>1545</v>
      </c>
      <c r="J3750" t="s">
        <v>21</v>
      </c>
      <c r="K3750">
        <v>0</v>
      </c>
      <c r="L3750" t="s">
        <v>35</v>
      </c>
      <c r="M3750">
        <v>1000</v>
      </c>
    </row>
    <row r="3751" spans="1:13">
      <c r="A3751">
        <v>3745</v>
      </c>
      <c r="B3751">
        <v>51946</v>
      </c>
      <c r="C3751" t="s">
        <v>8063</v>
      </c>
      <c r="D3751" t="s">
        <v>76</v>
      </c>
      <c r="E3751" t="s">
        <v>8064</v>
      </c>
      <c r="F3751" t="str">
        <f>"00324743"</f>
        <v>00324743</v>
      </c>
      <c r="G3751" t="s">
        <v>38</v>
      </c>
      <c r="H3751" t="s">
        <v>39</v>
      </c>
      <c r="I3751">
        <v>1634</v>
      </c>
      <c r="J3751" t="s">
        <v>21</v>
      </c>
      <c r="K3751">
        <v>6</v>
      </c>
      <c r="L3751" t="s">
        <v>35</v>
      </c>
      <c r="M3751">
        <v>708</v>
      </c>
    </row>
    <row r="3752" spans="1:13">
      <c r="A3752">
        <v>3746</v>
      </c>
      <c r="B3752">
        <v>65242</v>
      </c>
      <c r="C3752" t="s">
        <v>8065</v>
      </c>
      <c r="D3752" t="s">
        <v>218</v>
      </c>
      <c r="E3752" t="s">
        <v>8066</v>
      </c>
      <c r="F3752" t="str">
        <f>"201409002857"</f>
        <v>201409002857</v>
      </c>
      <c r="G3752" t="s">
        <v>883</v>
      </c>
      <c r="H3752" t="s">
        <v>270</v>
      </c>
      <c r="I3752">
        <v>1585</v>
      </c>
      <c r="J3752" t="s">
        <v>21</v>
      </c>
      <c r="K3752">
        <v>0</v>
      </c>
      <c r="L3752" t="s">
        <v>35</v>
      </c>
      <c r="M3752">
        <v>1108</v>
      </c>
    </row>
    <row r="3753" spans="1:13">
      <c r="A3753">
        <v>3747</v>
      </c>
      <c r="B3753">
        <v>53282</v>
      </c>
      <c r="C3753" t="s">
        <v>8067</v>
      </c>
      <c r="D3753" t="s">
        <v>557</v>
      </c>
      <c r="E3753" t="s">
        <v>8068</v>
      </c>
      <c r="F3753" t="str">
        <f>"201511016572"</f>
        <v>201511016572</v>
      </c>
      <c r="G3753" t="s">
        <v>760</v>
      </c>
      <c r="H3753" t="s">
        <v>20</v>
      </c>
      <c r="I3753">
        <v>1432</v>
      </c>
      <c r="J3753" t="s">
        <v>21</v>
      </c>
      <c r="K3753">
        <v>0</v>
      </c>
      <c r="L3753" t="s">
        <v>88</v>
      </c>
      <c r="M3753">
        <v>600</v>
      </c>
    </row>
    <row r="3754" spans="1:13">
      <c r="A3754">
        <v>3748</v>
      </c>
      <c r="B3754">
        <v>90569</v>
      </c>
      <c r="C3754" t="s">
        <v>8069</v>
      </c>
      <c r="D3754" t="s">
        <v>243</v>
      </c>
      <c r="E3754" t="s">
        <v>8070</v>
      </c>
      <c r="F3754" t="str">
        <f>"00383357"</f>
        <v>00383357</v>
      </c>
      <c r="G3754" t="s">
        <v>170</v>
      </c>
      <c r="H3754" t="s">
        <v>20</v>
      </c>
      <c r="I3754">
        <v>1412</v>
      </c>
      <c r="J3754" t="s">
        <v>21</v>
      </c>
      <c r="K3754">
        <v>0</v>
      </c>
      <c r="L3754" t="s">
        <v>35</v>
      </c>
      <c r="M3754">
        <v>908</v>
      </c>
    </row>
    <row r="3755" spans="1:13">
      <c r="A3755">
        <v>3749</v>
      </c>
      <c r="B3755">
        <v>79577</v>
      </c>
      <c r="C3755" t="s">
        <v>8071</v>
      </c>
      <c r="D3755" t="s">
        <v>105</v>
      </c>
      <c r="E3755" t="s">
        <v>8072</v>
      </c>
      <c r="F3755" t="str">
        <f>"00391349"</f>
        <v>00391349</v>
      </c>
      <c r="G3755" t="s">
        <v>733</v>
      </c>
      <c r="H3755" t="s">
        <v>734</v>
      </c>
      <c r="I3755">
        <v>1596</v>
      </c>
      <c r="J3755" t="s">
        <v>21</v>
      </c>
      <c r="K3755">
        <v>0</v>
      </c>
      <c r="M3755">
        <v>1528</v>
      </c>
    </row>
    <row r="3756" spans="1:13">
      <c r="A3756">
        <v>3750</v>
      </c>
      <c r="B3756">
        <v>100617</v>
      </c>
      <c r="C3756" t="s">
        <v>8073</v>
      </c>
      <c r="D3756" t="s">
        <v>76</v>
      </c>
      <c r="E3756" t="s">
        <v>8074</v>
      </c>
      <c r="F3756" t="str">
        <f>"00400135"</f>
        <v>00400135</v>
      </c>
      <c r="G3756" t="s">
        <v>87</v>
      </c>
      <c r="H3756" t="s">
        <v>6482</v>
      </c>
      <c r="I3756">
        <v>1701</v>
      </c>
      <c r="J3756" t="s">
        <v>21</v>
      </c>
      <c r="K3756">
        <v>0</v>
      </c>
      <c r="L3756" t="s">
        <v>35</v>
      </c>
      <c r="M3756">
        <v>908</v>
      </c>
    </row>
    <row r="3757" spans="1:13">
      <c r="A3757">
        <v>3751</v>
      </c>
      <c r="B3757">
        <v>81628</v>
      </c>
      <c r="C3757" t="s">
        <v>8075</v>
      </c>
      <c r="D3757" t="s">
        <v>80</v>
      </c>
      <c r="E3757" t="s">
        <v>8076</v>
      </c>
      <c r="F3757" t="str">
        <f>"201406010318"</f>
        <v>201406010318</v>
      </c>
      <c r="G3757" t="s">
        <v>481</v>
      </c>
      <c r="H3757" t="s">
        <v>3946</v>
      </c>
      <c r="I3757">
        <v>1681</v>
      </c>
      <c r="J3757" t="s">
        <v>21</v>
      </c>
      <c r="K3757">
        <v>0</v>
      </c>
      <c r="M3757">
        <v>1596</v>
      </c>
    </row>
    <row r="3758" spans="1:13">
      <c r="A3758">
        <v>3752</v>
      </c>
      <c r="B3758">
        <v>62250</v>
      </c>
      <c r="C3758" t="s">
        <v>8077</v>
      </c>
      <c r="D3758" t="s">
        <v>316</v>
      </c>
      <c r="E3758" t="s">
        <v>8078</v>
      </c>
      <c r="F3758" t="str">
        <f>"00365672"</f>
        <v>00365672</v>
      </c>
      <c r="G3758" t="s">
        <v>215</v>
      </c>
      <c r="H3758" t="s">
        <v>216</v>
      </c>
      <c r="I3758">
        <v>1708</v>
      </c>
      <c r="J3758" t="s">
        <v>21</v>
      </c>
      <c r="K3758">
        <v>6</v>
      </c>
      <c r="M3758">
        <v>1528</v>
      </c>
    </row>
    <row r="3759" spans="1:13">
      <c r="A3759">
        <v>3753</v>
      </c>
      <c r="B3759">
        <v>94766</v>
      </c>
      <c r="C3759" t="s">
        <v>8079</v>
      </c>
      <c r="D3759" t="s">
        <v>105</v>
      </c>
      <c r="E3759" t="s">
        <v>8080</v>
      </c>
      <c r="F3759" t="str">
        <f>"00249262"</f>
        <v>00249262</v>
      </c>
      <c r="G3759" t="s">
        <v>488</v>
      </c>
      <c r="H3759" t="s">
        <v>20</v>
      </c>
      <c r="I3759">
        <v>1482</v>
      </c>
      <c r="J3759" t="s">
        <v>21</v>
      </c>
      <c r="K3759">
        <v>0</v>
      </c>
      <c r="L3759" t="s">
        <v>35</v>
      </c>
      <c r="M3759">
        <v>910</v>
      </c>
    </row>
    <row r="3760" spans="1:13">
      <c r="A3760">
        <v>3754</v>
      </c>
      <c r="B3760">
        <v>69038</v>
      </c>
      <c r="C3760" t="s">
        <v>8081</v>
      </c>
      <c r="D3760" t="s">
        <v>563</v>
      </c>
      <c r="E3760" t="s">
        <v>8082</v>
      </c>
      <c r="F3760" t="str">
        <f>"00399106"</f>
        <v>00399106</v>
      </c>
      <c r="G3760" t="s">
        <v>215</v>
      </c>
      <c r="H3760" t="s">
        <v>216</v>
      </c>
      <c r="I3760">
        <v>1708</v>
      </c>
      <c r="J3760" t="s">
        <v>21</v>
      </c>
      <c r="K3760">
        <v>6</v>
      </c>
      <c r="L3760" t="s">
        <v>35</v>
      </c>
      <c r="M3760">
        <v>808</v>
      </c>
    </row>
    <row r="3761" spans="1:13">
      <c r="A3761">
        <v>3755</v>
      </c>
      <c r="B3761">
        <v>103461</v>
      </c>
      <c r="C3761" t="s">
        <v>8083</v>
      </c>
      <c r="D3761" t="s">
        <v>102</v>
      </c>
      <c r="E3761" t="s">
        <v>8084</v>
      </c>
      <c r="F3761" t="str">
        <f>"00385445"</f>
        <v>00385445</v>
      </c>
      <c r="G3761" t="s">
        <v>418</v>
      </c>
      <c r="H3761" t="s">
        <v>234</v>
      </c>
      <c r="I3761">
        <v>1335</v>
      </c>
      <c r="J3761" t="s">
        <v>21</v>
      </c>
      <c r="K3761">
        <v>6</v>
      </c>
      <c r="L3761" t="s">
        <v>35</v>
      </c>
      <c r="M3761">
        <v>936</v>
      </c>
    </row>
    <row r="3762" spans="1:13">
      <c r="A3762">
        <v>3756</v>
      </c>
      <c r="B3762">
        <v>95182</v>
      </c>
      <c r="C3762" t="s">
        <v>8085</v>
      </c>
      <c r="D3762" t="s">
        <v>105</v>
      </c>
      <c r="E3762" t="s">
        <v>8086</v>
      </c>
      <c r="F3762" t="str">
        <f>"00030450"</f>
        <v>00030450</v>
      </c>
      <c r="G3762" t="s">
        <v>7326</v>
      </c>
      <c r="H3762" t="s">
        <v>137</v>
      </c>
      <c r="I3762">
        <v>1613</v>
      </c>
      <c r="J3762" t="s">
        <v>21</v>
      </c>
      <c r="K3762">
        <v>6</v>
      </c>
      <c r="M3762">
        <v>1568</v>
      </c>
    </row>
    <row r="3763" spans="1:13">
      <c r="A3763">
        <v>3757</v>
      </c>
      <c r="B3763">
        <v>115230</v>
      </c>
      <c r="C3763" t="s">
        <v>8087</v>
      </c>
      <c r="D3763" t="s">
        <v>243</v>
      </c>
      <c r="E3763" t="s">
        <v>8088</v>
      </c>
      <c r="F3763" t="str">
        <f>"00418906"</f>
        <v>00418906</v>
      </c>
      <c r="G3763" t="s">
        <v>170</v>
      </c>
      <c r="H3763" t="s">
        <v>20</v>
      </c>
      <c r="I3763">
        <v>1412</v>
      </c>
      <c r="J3763" t="s">
        <v>21</v>
      </c>
      <c r="K3763">
        <v>0</v>
      </c>
      <c r="M3763">
        <v>1388</v>
      </c>
    </row>
    <row r="3764" spans="1:13">
      <c r="A3764">
        <v>3758</v>
      </c>
      <c r="B3764">
        <v>46419</v>
      </c>
      <c r="C3764" t="s">
        <v>8089</v>
      </c>
      <c r="D3764" t="s">
        <v>80</v>
      </c>
      <c r="E3764" t="s">
        <v>8090</v>
      </c>
      <c r="F3764" t="str">
        <f>"201511030690"</f>
        <v>201511030690</v>
      </c>
      <c r="G3764" t="s">
        <v>150</v>
      </c>
      <c r="H3764" t="s">
        <v>151</v>
      </c>
      <c r="I3764">
        <v>1699</v>
      </c>
      <c r="J3764" t="s">
        <v>21</v>
      </c>
      <c r="K3764">
        <v>0</v>
      </c>
      <c r="L3764" t="s">
        <v>112</v>
      </c>
      <c r="M3764">
        <v>808</v>
      </c>
    </row>
    <row r="3765" spans="1:13">
      <c r="A3765">
        <v>3759</v>
      </c>
      <c r="B3765">
        <v>105916</v>
      </c>
      <c r="C3765" t="s">
        <v>8091</v>
      </c>
      <c r="D3765" t="s">
        <v>76</v>
      </c>
      <c r="E3765" t="s">
        <v>8092</v>
      </c>
      <c r="F3765" t="str">
        <f>"00386178"</f>
        <v>00386178</v>
      </c>
      <c r="G3765" t="s">
        <v>2081</v>
      </c>
      <c r="H3765" t="s">
        <v>20</v>
      </c>
      <c r="I3765">
        <v>1417</v>
      </c>
      <c r="J3765" t="s">
        <v>21</v>
      </c>
      <c r="K3765">
        <v>0</v>
      </c>
      <c r="L3765" t="s">
        <v>35</v>
      </c>
      <c r="M3765">
        <v>1108</v>
      </c>
    </row>
    <row r="3766" spans="1:13">
      <c r="A3766">
        <v>3760</v>
      </c>
      <c r="B3766">
        <v>63314</v>
      </c>
      <c r="C3766" t="s">
        <v>8093</v>
      </c>
      <c r="D3766" t="s">
        <v>8094</v>
      </c>
      <c r="E3766" t="s">
        <v>8095</v>
      </c>
      <c r="F3766" t="str">
        <f>"00355244"</f>
        <v>00355244</v>
      </c>
      <c r="G3766" t="s">
        <v>576</v>
      </c>
      <c r="H3766" t="s">
        <v>535</v>
      </c>
      <c r="I3766">
        <v>1666</v>
      </c>
      <c r="J3766" t="s">
        <v>21</v>
      </c>
      <c r="K3766">
        <v>6</v>
      </c>
      <c r="M3766">
        <v>1528</v>
      </c>
    </row>
    <row r="3767" spans="1:13">
      <c r="A3767">
        <v>3761</v>
      </c>
      <c r="B3767">
        <v>102603</v>
      </c>
      <c r="C3767" t="s">
        <v>8096</v>
      </c>
      <c r="D3767" t="s">
        <v>198</v>
      </c>
      <c r="E3767" t="s">
        <v>8097</v>
      </c>
      <c r="F3767" t="str">
        <f>"00160025"</f>
        <v>00160025</v>
      </c>
      <c r="G3767" t="s">
        <v>107</v>
      </c>
      <c r="H3767" t="s">
        <v>20</v>
      </c>
      <c r="I3767">
        <v>1472</v>
      </c>
      <c r="J3767" t="s">
        <v>21</v>
      </c>
      <c r="K3767">
        <v>0</v>
      </c>
      <c r="L3767" t="s">
        <v>35</v>
      </c>
      <c r="M3767">
        <v>1100</v>
      </c>
    </row>
    <row r="3768" spans="1:13">
      <c r="A3768">
        <v>3762</v>
      </c>
      <c r="B3768">
        <v>58156</v>
      </c>
      <c r="C3768" t="s">
        <v>8098</v>
      </c>
      <c r="D3768" t="s">
        <v>117</v>
      </c>
      <c r="E3768" t="s">
        <v>8099</v>
      </c>
      <c r="F3768" t="str">
        <f>"00249353"</f>
        <v>00249353</v>
      </c>
      <c r="G3768" t="s">
        <v>1595</v>
      </c>
      <c r="H3768" t="s">
        <v>20</v>
      </c>
      <c r="I3768">
        <v>1538</v>
      </c>
      <c r="J3768" t="s">
        <v>21</v>
      </c>
      <c r="K3768">
        <v>6</v>
      </c>
      <c r="M3768">
        <v>1228</v>
      </c>
    </row>
    <row r="3769" spans="1:13">
      <c r="A3769">
        <v>3763</v>
      </c>
      <c r="B3769">
        <v>54566</v>
      </c>
      <c r="C3769" t="s">
        <v>8100</v>
      </c>
      <c r="D3769" t="s">
        <v>2893</v>
      </c>
      <c r="E3769" t="s">
        <v>8101</v>
      </c>
      <c r="F3769" t="str">
        <f>"00027484"</f>
        <v>00027484</v>
      </c>
      <c r="G3769" t="s">
        <v>1155</v>
      </c>
      <c r="H3769" t="s">
        <v>20</v>
      </c>
      <c r="I3769">
        <v>1480</v>
      </c>
      <c r="J3769" t="s">
        <v>21</v>
      </c>
      <c r="K3769">
        <v>0</v>
      </c>
      <c r="L3769" t="s">
        <v>112</v>
      </c>
      <c r="M3769">
        <v>1025</v>
      </c>
    </row>
    <row r="3770" spans="1:13">
      <c r="A3770">
        <v>3764</v>
      </c>
      <c r="B3770">
        <v>98812</v>
      </c>
      <c r="C3770" t="s">
        <v>8102</v>
      </c>
      <c r="D3770" t="s">
        <v>153</v>
      </c>
      <c r="E3770" t="s">
        <v>8103</v>
      </c>
      <c r="F3770" t="str">
        <f>"00156358"</f>
        <v>00156358</v>
      </c>
      <c r="G3770" t="s">
        <v>245</v>
      </c>
      <c r="H3770" t="s">
        <v>20</v>
      </c>
      <c r="I3770">
        <v>1406</v>
      </c>
      <c r="J3770" t="s">
        <v>21</v>
      </c>
      <c r="K3770">
        <v>0</v>
      </c>
      <c r="L3770" t="s">
        <v>35</v>
      </c>
      <c r="M3770">
        <v>1000</v>
      </c>
    </row>
    <row r="3771" spans="1:13">
      <c r="A3771">
        <v>3765</v>
      </c>
      <c r="B3771">
        <v>97945</v>
      </c>
      <c r="C3771" t="s">
        <v>8104</v>
      </c>
      <c r="D3771" t="s">
        <v>243</v>
      </c>
      <c r="E3771" t="s">
        <v>8105</v>
      </c>
      <c r="F3771" t="str">
        <f>"00334785"</f>
        <v>00334785</v>
      </c>
      <c r="G3771" t="s">
        <v>341</v>
      </c>
      <c r="H3771" t="s">
        <v>20</v>
      </c>
      <c r="I3771">
        <v>1553</v>
      </c>
      <c r="J3771" t="s">
        <v>21</v>
      </c>
      <c r="K3771">
        <v>6</v>
      </c>
      <c r="L3771" t="s">
        <v>59</v>
      </c>
      <c r="M3771">
        <v>1150</v>
      </c>
    </row>
    <row r="3772" spans="1:13">
      <c r="A3772">
        <v>3766</v>
      </c>
      <c r="B3772">
        <v>99842</v>
      </c>
      <c r="C3772" t="s">
        <v>8106</v>
      </c>
      <c r="D3772" t="s">
        <v>90</v>
      </c>
      <c r="E3772" t="s">
        <v>8107</v>
      </c>
      <c r="F3772" t="str">
        <f>"201511023137"</f>
        <v>201511023137</v>
      </c>
      <c r="G3772" t="s">
        <v>125</v>
      </c>
      <c r="H3772" t="s">
        <v>20</v>
      </c>
      <c r="I3772">
        <v>1507</v>
      </c>
      <c r="J3772" t="s">
        <v>21</v>
      </c>
      <c r="K3772">
        <v>0</v>
      </c>
      <c r="M3772">
        <v>1438</v>
      </c>
    </row>
    <row r="3773" spans="1:13">
      <c r="A3773">
        <v>3767</v>
      </c>
      <c r="B3773">
        <v>60148</v>
      </c>
      <c r="C3773" t="s">
        <v>8108</v>
      </c>
      <c r="D3773" t="s">
        <v>76</v>
      </c>
      <c r="E3773" t="s">
        <v>8109</v>
      </c>
      <c r="F3773" t="str">
        <f>"00280801"</f>
        <v>00280801</v>
      </c>
      <c r="G3773" t="s">
        <v>1079</v>
      </c>
      <c r="H3773" t="s">
        <v>20</v>
      </c>
      <c r="I3773">
        <v>1433</v>
      </c>
      <c r="J3773" t="s">
        <v>21</v>
      </c>
      <c r="K3773">
        <v>0</v>
      </c>
      <c r="L3773" t="s">
        <v>35</v>
      </c>
      <c r="M3773">
        <v>1008</v>
      </c>
    </row>
    <row r="3774" spans="1:13">
      <c r="A3774">
        <v>3768</v>
      </c>
      <c r="B3774">
        <v>66483</v>
      </c>
      <c r="C3774" t="s">
        <v>8110</v>
      </c>
      <c r="D3774" t="s">
        <v>80</v>
      </c>
      <c r="E3774" t="s">
        <v>8111</v>
      </c>
      <c r="F3774" t="str">
        <f>"00371358"</f>
        <v>00371358</v>
      </c>
      <c r="G3774" t="s">
        <v>233</v>
      </c>
      <c r="H3774" t="s">
        <v>2515</v>
      </c>
      <c r="I3774">
        <v>1349</v>
      </c>
      <c r="J3774" t="s">
        <v>21</v>
      </c>
      <c r="K3774">
        <v>6</v>
      </c>
      <c r="M3774">
        <v>1018</v>
      </c>
    </row>
    <row r="3775" spans="1:13">
      <c r="A3775">
        <v>3769</v>
      </c>
      <c r="B3775">
        <v>50597</v>
      </c>
      <c r="C3775" t="s">
        <v>8112</v>
      </c>
      <c r="D3775" t="s">
        <v>373</v>
      </c>
      <c r="E3775" t="s">
        <v>8113</v>
      </c>
      <c r="F3775" t="str">
        <f>"00357883"</f>
        <v>00357883</v>
      </c>
      <c r="G3775" t="s">
        <v>1079</v>
      </c>
      <c r="H3775" t="s">
        <v>20</v>
      </c>
      <c r="I3775">
        <v>1433</v>
      </c>
      <c r="J3775" t="s">
        <v>21</v>
      </c>
      <c r="K3775">
        <v>0</v>
      </c>
      <c r="M3775">
        <v>1583</v>
      </c>
    </row>
    <row r="3776" spans="1:13">
      <c r="A3776">
        <v>3770</v>
      </c>
      <c r="B3776">
        <v>97267</v>
      </c>
      <c r="C3776" t="s">
        <v>8114</v>
      </c>
      <c r="D3776" t="s">
        <v>373</v>
      </c>
      <c r="E3776" t="s">
        <v>8115</v>
      </c>
      <c r="F3776" t="str">
        <f>"00407589"</f>
        <v>00407589</v>
      </c>
      <c r="G3776" t="s">
        <v>2164</v>
      </c>
      <c r="H3776" t="s">
        <v>20</v>
      </c>
      <c r="I3776">
        <v>1495</v>
      </c>
      <c r="J3776" t="s">
        <v>21</v>
      </c>
      <c r="K3776">
        <v>6</v>
      </c>
      <c r="L3776" t="s">
        <v>35</v>
      </c>
      <c r="M3776">
        <v>1308</v>
      </c>
    </row>
    <row r="3777" spans="1:13">
      <c r="A3777">
        <v>3771</v>
      </c>
      <c r="B3777">
        <v>84728</v>
      </c>
      <c r="C3777" t="s">
        <v>8116</v>
      </c>
      <c r="D3777" t="s">
        <v>243</v>
      </c>
      <c r="E3777" t="s">
        <v>8117</v>
      </c>
      <c r="F3777" t="str">
        <f>"00373138"</f>
        <v>00373138</v>
      </c>
      <c r="G3777" t="s">
        <v>200</v>
      </c>
      <c r="H3777" t="s">
        <v>20</v>
      </c>
      <c r="I3777">
        <v>1492</v>
      </c>
      <c r="J3777" t="s">
        <v>21</v>
      </c>
      <c r="K3777">
        <v>0</v>
      </c>
      <c r="L3777" t="s">
        <v>35</v>
      </c>
      <c r="M3777">
        <v>908</v>
      </c>
    </row>
    <row r="3778" spans="1:13">
      <c r="A3778">
        <v>3772</v>
      </c>
      <c r="B3778">
        <v>66205</v>
      </c>
      <c r="C3778" t="s">
        <v>8118</v>
      </c>
      <c r="D3778" t="s">
        <v>90</v>
      </c>
      <c r="E3778" t="s">
        <v>8119</v>
      </c>
      <c r="F3778" t="str">
        <f>"00337969"</f>
        <v>00337969</v>
      </c>
      <c r="G3778" t="s">
        <v>38</v>
      </c>
      <c r="H3778" t="s">
        <v>39</v>
      </c>
      <c r="I3778">
        <v>1634</v>
      </c>
      <c r="J3778" t="s">
        <v>21</v>
      </c>
      <c r="K3778">
        <v>6</v>
      </c>
      <c r="M3778">
        <v>1128</v>
      </c>
    </row>
    <row r="3779" spans="1:13">
      <c r="A3779">
        <v>3773</v>
      </c>
      <c r="B3779">
        <v>92349</v>
      </c>
      <c r="C3779" t="s">
        <v>8120</v>
      </c>
      <c r="D3779" t="s">
        <v>98</v>
      </c>
      <c r="E3779" t="s">
        <v>8121</v>
      </c>
      <c r="F3779" t="str">
        <f>"00405051"</f>
        <v>00405051</v>
      </c>
      <c r="G3779" t="s">
        <v>371</v>
      </c>
      <c r="H3779" t="s">
        <v>20</v>
      </c>
      <c r="I3779">
        <v>1526</v>
      </c>
      <c r="J3779" t="s">
        <v>21</v>
      </c>
      <c r="K3779">
        <v>6</v>
      </c>
      <c r="M3779">
        <v>1298</v>
      </c>
    </row>
    <row r="3780" spans="1:13">
      <c r="A3780">
        <v>3774</v>
      </c>
      <c r="B3780">
        <v>53944</v>
      </c>
      <c r="C3780" t="s">
        <v>8122</v>
      </c>
      <c r="D3780" t="s">
        <v>80</v>
      </c>
      <c r="E3780" t="s">
        <v>8123</v>
      </c>
      <c r="F3780" t="str">
        <f>"00366941"</f>
        <v>00366941</v>
      </c>
      <c r="G3780" t="s">
        <v>3395</v>
      </c>
      <c r="H3780" t="s">
        <v>20</v>
      </c>
      <c r="I3780">
        <v>1537</v>
      </c>
      <c r="J3780" t="s">
        <v>21</v>
      </c>
      <c r="K3780">
        <v>6</v>
      </c>
      <c r="M3780">
        <v>1028</v>
      </c>
    </row>
    <row r="3781" spans="1:13">
      <c r="A3781">
        <v>3775</v>
      </c>
      <c r="B3781">
        <v>97113</v>
      </c>
      <c r="C3781" t="s">
        <v>8124</v>
      </c>
      <c r="D3781" t="s">
        <v>218</v>
      </c>
      <c r="E3781" t="s">
        <v>8125</v>
      </c>
      <c r="F3781" t="str">
        <f>"00373765"</f>
        <v>00373765</v>
      </c>
      <c r="G3781" t="s">
        <v>856</v>
      </c>
      <c r="H3781" t="s">
        <v>366</v>
      </c>
      <c r="I3781">
        <v>1706</v>
      </c>
      <c r="J3781" t="s">
        <v>21</v>
      </c>
      <c r="K3781">
        <v>0</v>
      </c>
      <c r="L3781" t="s">
        <v>59</v>
      </c>
      <c r="M3781">
        <v>988</v>
      </c>
    </row>
    <row r="3782" spans="1:13">
      <c r="A3782">
        <v>3776</v>
      </c>
      <c r="B3782">
        <v>85821</v>
      </c>
      <c r="C3782" t="s">
        <v>8126</v>
      </c>
      <c r="D3782" t="s">
        <v>1232</v>
      </c>
      <c r="E3782" t="s">
        <v>8127</v>
      </c>
      <c r="F3782" t="str">
        <f>"00397630"</f>
        <v>00397630</v>
      </c>
      <c r="G3782" t="s">
        <v>1107</v>
      </c>
      <c r="H3782" t="s">
        <v>48</v>
      </c>
      <c r="I3782">
        <v>1626</v>
      </c>
      <c r="J3782" t="s">
        <v>21</v>
      </c>
      <c r="K3782">
        <v>0</v>
      </c>
      <c r="M3782">
        <v>1438</v>
      </c>
    </row>
    <row r="3783" spans="1:13">
      <c r="A3783">
        <v>3777</v>
      </c>
      <c r="B3783">
        <v>88028</v>
      </c>
      <c r="C3783" t="s">
        <v>8128</v>
      </c>
      <c r="D3783" t="s">
        <v>243</v>
      </c>
      <c r="E3783" t="s">
        <v>8129</v>
      </c>
      <c r="F3783" t="str">
        <f>"00417745"</f>
        <v>00417745</v>
      </c>
      <c r="G3783" t="s">
        <v>47</v>
      </c>
      <c r="H3783" t="s">
        <v>48</v>
      </c>
      <c r="I3783">
        <v>1623</v>
      </c>
      <c r="J3783" t="s">
        <v>21</v>
      </c>
      <c r="K3783">
        <v>0</v>
      </c>
      <c r="M3783">
        <v>1468</v>
      </c>
    </row>
    <row r="3784" spans="1:13">
      <c r="A3784">
        <v>3778</v>
      </c>
      <c r="B3784">
        <v>92707</v>
      </c>
      <c r="C3784" t="s">
        <v>8130</v>
      </c>
      <c r="D3784" t="s">
        <v>756</v>
      </c>
      <c r="E3784" t="s">
        <v>8131</v>
      </c>
      <c r="F3784" t="str">
        <f>"00394982"</f>
        <v>00394982</v>
      </c>
      <c r="G3784" t="s">
        <v>19</v>
      </c>
      <c r="H3784" t="s">
        <v>20</v>
      </c>
      <c r="I3784">
        <v>1531</v>
      </c>
      <c r="J3784" t="s">
        <v>21</v>
      </c>
      <c r="K3784">
        <v>0</v>
      </c>
      <c r="M3784">
        <v>1828</v>
      </c>
    </row>
    <row r="3785" spans="1:13">
      <c r="A3785">
        <v>3779</v>
      </c>
      <c r="B3785">
        <v>68820</v>
      </c>
      <c r="C3785" t="s">
        <v>8132</v>
      </c>
      <c r="D3785" t="s">
        <v>8133</v>
      </c>
      <c r="E3785" t="s">
        <v>8134</v>
      </c>
      <c r="F3785" t="str">
        <f>"201105000132"</f>
        <v>201105000132</v>
      </c>
      <c r="G3785" t="s">
        <v>19</v>
      </c>
      <c r="H3785" t="s">
        <v>20</v>
      </c>
      <c r="I3785">
        <v>1531</v>
      </c>
      <c r="J3785" t="s">
        <v>21</v>
      </c>
      <c r="K3785">
        <v>0</v>
      </c>
      <c r="L3785" t="s">
        <v>35</v>
      </c>
      <c r="M3785">
        <v>1000</v>
      </c>
    </row>
    <row r="3786" spans="1:13">
      <c r="A3786">
        <v>3780</v>
      </c>
      <c r="B3786">
        <v>105978</v>
      </c>
      <c r="C3786" t="s">
        <v>8135</v>
      </c>
      <c r="D3786" t="s">
        <v>243</v>
      </c>
      <c r="E3786" t="s">
        <v>8136</v>
      </c>
      <c r="F3786" t="str">
        <f>"201511012580"</f>
        <v>201511012580</v>
      </c>
      <c r="G3786" t="s">
        <v>1890</v>
      </c>
      <c r="H3786" t="s">
        <v>3499</v>
      </c>
      <c r="I3786">
        <v>1672</v>
      </c>
      <c r="J3786" t="s">
        <v>21</v>
      </c>
      <c r="K3786">
        <v>0</v>
      </c>
      <c r="L3786" t="s">
        <v>35</v>
      </c>
      <c r="M3786">
        <v>1200</v>
      </c>
    </row>
    <row r="3787" spans="1:13">
      <c r="A3787">
        <v>3781</v>
      </c>
      <c r="B3787">
        <v>115042</v>
      </c>
      <c r="C3787" t="s">
        <v>8137</v>
      </c>
      <c r="D3787" t="s">
        <v>80</v>
      </c>
      <c r="E3787" t="s">
        <v>8138</v>
      </c>
      <c r="F3787" t="str">
        <f>"00423871"</f>
        <v>00423871</v>
      </c>
      <c r="G3787" t="s">
        <v>341</v>
      </c>
      <c r="H3787" t="s">
        <v>20</v>
      </c>
      <c r="I3787">
        <v>1553</v>
      </c>
      <c r="J3787" t="s">
        <v>21</v>
      </c>
      <c r="K3787">
        <v>6</v>
      </c>
      <c r="L3787" t="s">
        <v>35</v>
      </c>
      <c r="M3787">
        <v>891</v>
      </c>
    </row>
    <row r="3788" spans="1:13">
      <c r="A3788">
        <v>3782</v>
      </c>
      <c r="B3788">
        <v>100749</v>
      </c>
      <c r="C3788" t="s">
        <v>8139</v>
      </c>
      <c r="D3788" t="s">
        <v>243</v>
      </c>
      <c r="E3788" t="s">
        <v>8140</v>
      </c>
      <c r="F3788" t="str">
        <f>"00371759"</f>
        <v>00371759</v>
      </c>
      <c r="G3788" t="s">
        <v>33</v>
      </c>
      <c r="H3788" t="s">
        <v>366</v>
      </c>
      <c r="I3788">
        <v>1689</v>
      </c>
      <c r="J3788" t="s">
        <v>21</v>
      </c>
      <c r="K3788">
        <v>6</v>
      </c>
      <c r="M3788">
        <v>1218</v>
      </c>
    </row>
    <row r="3789" spans="1:13">
      <c r="A3789">
        <v>3783</v>
      </c>
      <c r="B3789">
        <v>58784</v>
      </c>
      <c r="C3789" t="s">
        <v>8141</v>
      </c>
      <c r="D3789" t="s">
        <v>76</v>
      </c>
      <c r="E3789" t="s">
        <v>8142</v>
      </c>
      <c r="F3789" t="str">
        <f>"00292853"</f>
        <v>00292853</v>
      </c>
      <c r="G3789" t="s">
        <v>47</v>
      </c>
      <c r="H3789" t="s">
        <v>48</v>
      </c>
      <c r="I3789">
        <v>1623</v>
      </c>
      <c r="J3789" t="s">
        <v>21</v>
      </c>
      <c r="K3789">
        <v>0</v>
      </c>
      <c r="M3789">
        <v>1398</v>
      </c>
    </row>
    <row r="3790" spans="1:13">
      <c r="A3790">
        <v>3784</v>
      </c>
      <c r="B3790">
        <v>95337</v>
      </c>
      <c r="C3790" t="s">
        <v>8143</v>
      </c>
      <c r="D3790" t="s">
        <v>94</v>
      </c>
      <c r="E3790" t="s">
        <v>8144</v>
      </c>
      <c r="F3790" t="str">
        <f>"00293106"</f>
        <v>00293106</v>
      </c>
      <c r="G3790" t="s">
        <v>111</v>
      </c>
      <c r="H3790" t="s">
        <v>48</v>
      </c>
      <c r="I3790">
        <v>1620</v>
      </c>
      <c r="J3790" t="s">
        <v>21</v>
      </c>
      <c r="K3790">
        <v>0</v>
      </c>
      <c r="M3790">
        <v>1328</v>
      </c>
    </row>
    <row r="3791" spans="1:13">
      <c r="A3791">
        <v>3785</v>
      </c>
      <c r="B3791">
        <v>51592</v>
      </c>
      <c r="C3791" t="s">
        <v>8145</v>
      </c>
      <c r="D3791" t="s">
        <v>80</v>
      </c>
      <c r="E3791" t="s">
        <v>8146</v>
      </c>
      <c r="F3791" t="str">
        <f>"00370856"</f>
        <v>00370856</v>
      </c>
      <c r="G3791" t="s">
        <v>245</v>
      </c>
      <c r="H3791" t="s">
        <v>20</v>
      </c>
      <c r="I3791">
        <v>1406</v>
      </c>
      <c r="J3791" t="s">
        <v>21</v>
      </c>
      <c r="K3791">
        <v>0</v>
      </c>
      <c r="L3791" t="s">
        <v>83</v>
      </c>
      <c r="M3791">
        <v>1288</v>
      </c>
    </row>
    <row r="3792" spans="1:13">
      <c r="A3792">
        <v>3786</v>
      </c>
      <c r="B3792">
        <v>88881</v>
      </c>
      <c r="C3792" t="s">
        <v>8147</v>
      </c>
      <c r="D3792" t="s">
        <v>80</v>
      </c>
      <c r="E3792" t="s">
        <v>8148</v>
      </c>
      <c r="F3792" t="str">
        <f>"00410718"</f>
        <v>00410718</v>
      </c>
      <c r="G3792" t="s">
        <v>47</v>
      </c>
      <c r="H3792" t="s">
        <v>48</v>
      </c>
      <c r="I3792">
        <v>1623</v>
      </c>
      <c r="J3792" t="s">
        <v>21</v>
      </c>
      <c r="K3792">
        <v>0</v>
      </c>
      <c r="L3792" t="s">
        <v>35</v>
      </c>
      <c r="M3792">
        <v>885</v>
      </c>
    </row>
    <row r="3793" spans="1:13">
      <c r="A3793">
        <v>3787</v>
      </c>
      <c r="B3793">
        <v>66929</v>
      </c>
      <c r="C3793" t="s">
        <v>8149</v>
      </c>
      <c r="D3793" t="s">
        <v>105</v>
      </c>
      <c r="E3793" t="s">
        <v>8150</v>
      </c>
      <c r="F3793" t="str">
        <f>"201511014805"</f>
        <v>201511014805</v>
      </c>
      <c r="G3793" t="s">
        <v>949</v>
      </c>
      <c r="H3793" t="s">
        <v>20</v>
      </c>
      <c r="I3793">
        <v>1450</v>
      </c>
      <c r="J3793" t="s">
        <v>21</v>
      </c>
      <c r="K3793">
        <v>6</v>
      </c>
      <c r="L3793" t="s">
        <v>35</v>
      </c>
      <c r="M3793">
        <v>1008</v>
      </c>
    </row>
    <row r="3794" spans="1:13">
      <c r="A3794">
        <v>3788</v>
      </c>
      <c r="B3794">
        <v>98560</v>
      </c>
      <c r="C3794" t="s">
        <v>8151</v>
      </c>
      <c r="D3794" t="s">
        <v>5972</v>
      </c>
      <c r="E3794" t="s">
        <v>8152</v>
      </c>
      <c r="F3794" t="str">
        <f>"00247128"</f>
        <v>00247128</v>
      </c>
      <c r="G3794" t="s">
        <v>380</v>
      </c>
      <c r="H3794" t="s">
        <v>20</v>
      </c>
      <c r="I3794">
        <v>1496</v>
      </c>
      <c r="J3794" t="s">
        <v>21</v>
      </c>
      <c r="K3794">
        <v>0</v>
      </c>
      <c r="L3794" t="s">
        <v>88</v>
      </c>
      <c r="M3794">
        <v>1108</v>
      </c>
    </row>
    <row r="3795" spans="1:13">
      <c r="A3795">
        <v>3789</v>
      </c>
      <c r="B3795">
        <v>57750</v>
      </c>
      <c r="C3795" t="s">
        <v>8153</v>
      </c>
      <c r="D3795" t="s">
        <v>105</v>
      </c>
      <c r="E3795" t="s">
        <v>8154</v>
      </c>
      <c r="F3795" t="str">
        <f>"00299914"</f>
        <v>00299914</v>
      </c>
      <c r="G3795" t="s">
        <v>233</v>
      </c>
      <c r="H3795" t="s">
        <v>234</v>
      </c>
      <c r="I3795">
        <v>1339</v>
      </c>
      <c r="J3795" t="s">
        <v>21</v>
      </c>
      <c r="K3795">
        <v>6</v>
      </c>
      <c r="M3795">
        <v>1040</v>
      </c>
    </row>
    <row r="3796" spans="1:13">
      <c r="A3796">
        <v>3790</v>
      </c>
      <c r="B3796">
        <v>87242</v>
      </c>
      <c r="C3796" t="s">
        <v>8155</v>
      </c>
      <c r="D3796" t="s">
        <v>180</v>
      </c>
      <c r="E3796" t="s">
        <v>8156</v>
      </c>
      <c r="F3796" t="str">
        <f>"00238674"</f>
        <v>00238674</v>
      </c>
      <c r="G3796" t="s">
        <v>150</v>
      </c>
      <c r="H3796" t="s">
        <v>151</v>
      </c>
      <c r="I3796">
        <v>1699</v>
      </c>
      <c r="J3796" t="s">
        <v>21</v>
      </c>
      <c r="K3796">
        <v>0</v>
      </c>
      <c r="M3796">
        <v>1428</v>
      </c>
    </row>
    <row r="3797" spans="1:13">
      <c r="A3797">
        <v>3791</v>
      </c>
      <c r="B3797">
        <v>110070</v>
      </c>
      <c r="C3797" t="s">
        <v>8157</v>
      </c>
      <c r="D3797" t="s">
        <v>334</v>
      </c>
      <c r="E3797" t="s">
        <v>8158</v>
      </c>
      <c r="F3797" t="str">
        <f>"00408263"</f>
        <v>00408263</v>
      </c>
      <c r="G3797" t="s">
        <v>2164</v>
      </c>
      <c r="H3797" t="s">
        <v>20</v>
      </c>
      <c r="I3797">
        <v>1495</v>
      </c>
      <c r="J3797" t="s">
        <v>21</v>
      </c>
      <c r="K3797">
        <v>6</v>
      </c>
      <c r="M3797">
        <v>2078</v>
      </c>
    </row>
    <row r="3798" spans="1:13">
      <c r="A3798">
        <v>3792</v>
      </c>
      <c r="B3798">
        <v>113679</v>
      </c>
      <c r="C3798" t="s">
        <v>8159</v>
      </c>
      <c r="D3798" t="s">
        <v>557</v>
      </c>
      <c r="E3798" t="s">
        <v>8160</v>
      </c>
      <c r="F3798" t="str">
        <f>"00422423"</f>
        <v>00422423</v>
      </c>
      <c r="G3798" t="s">
        <v>226</v>
      </c>
      <c r="H3798" t="s">
        <v>20</v>
      </c>
      <c r="I3798">
        <v>1510</v>
      </c>
      <c r="J3798" t="s">
        <v>21</v>
      </c>
      <c r="K3798">
        <v>0</v>
      </c>
      <c r="M3798">
        <v>1383</v>
      </c>
    </row>
    <row r="3799" spans="1:13">
      <c r="A3799">
        <v>3793</v>
      </c>
      <c r="B3799">
        <v>104686</v>
      </c>
      <c r="C3799" t="s">
        <v>8161</v>
      </c>
      <c r="D3799" t="s">
        <v>80</v>
      </c>
      <c r="E3799" t="s">
        <v>8162</v>
      </c>
      <c r="F3799" t="str">
        <f>"201511007998"</f>
        <v>201511007998</v>
      </c>
      <c r="G3799" t="s">
        <v>150</v>
      </c>
      <c r="H3799" t="s">
        <v>151</v>
      </c>
      <c r="I3799">
        <v>1699</v>
      </c>
      <c r="J3799" t="s">
        <v>21</v>
      </c>
      <c r="K3799">
        <v>0</v>
      </c>
      <c r="M3799">
        <v>1633</v>
      </c>
    </row>
    <row r="3800" spans="1:13">
      <c r="A3800">
        <v>3794</v>
      </c>
      <c r="B3800">
        <v>47968</v>
      </c>
      <c r="C3800" t="s">
        <v>8163</v>
      </c>
      <c r="D3800" t="s">
        <v>180</v>
      </c>
      <c r="E3800" t="s">
        <v>8164</v>
      </c>
      <c r="F3800" t="str">
        <f>"00361246"</f>
        <v>00361246</v>
      </c>
      <c r="G3800" t="s">
        <v>1084</v>
      </c>
      <c r="H3800" t="s">
        <v>1085</v>
      </c>
      <c r="I3800">
        <v>1588</v>
      </c>
      <c r="J3800" t="s">
        <v>21</v>
      </c>
      <c r="K3800">
        <v>0</v>
      </c>
      <c r="M3800">
        <v>1488</v>
      </c>
    </row>
    <row r="3801" spans="1:13">
      <c r="A3801">
        <v>3795</v>
      </c>
      <c r="B3801">
        <v>112327</v>
      </c>
      <c r="C3801" t="s">
        <v>8165</v>
      </c>
      <c r="D3801" t="s">
        <v>76</v>
      </c>
      <c r="E3801" t="s">
        <v>8166</v>
      </c>
      <c r="F3801" t="str">
        <f>"00417571"</f>
        <v>00417571</v>
      </c>
      <c r="G3801" t="s">
        <v>721</v>
      </c>
      <c r="H3801" t="s">
        <v>20</v>
      </c>
      <c r="I3801">
        <v>1575</v>
      </c>
      <c r="J3801" t="s">
        <v>21</v>
      </c>
      <c r="K3801">
        <v>0</v>
      </c>
      <c r="L3801" t="s">
        <v>35</v>
      </c>
      <c r="M3801">
        <v>940</v>
      </c>
    </row>
    <row r="3802" spans="1:13">
      <c r="A3802">
        <v>3796</v>
      </c>
      <c r="B3802">
        <v>84578</v>
      </c>
      <c r="C3802" t="s">
        <v>8167</v>
      </c>
      <c r="D3802" t="s">
        <v>557</v>
      </c>
      <c r="E3802" t="s">
        <v>8168</v>
      </c>
      <c r="F3802" t="str">
        <f>"00365515"</f>
        <v>00365515</v>
      </c>
      <c r="G3802" t="s">
        <v>284</v>
      </c>
      <c r="H3802" t="s">
        <v>270</v>
      </c>
      <c r="I3802">
        <v>1586</v>
      </c>
      <c r="J3802" t="s">
        <v>21</v>
      </c>
      <c r="K3802">
        <v>0</v>
      </c>
      <c r="L3802" t="s">
        <v>35</v>
      </c>
      <c r="M3802">
        <v>908</v>
      </c>
    </row>
    <row r="3803" spans="1:13">
      <c r="A3803">
        <v>3797</v>
      </c>
      <c r="B3803">
        <v>73717</v>
      </c>
      <c r="C3803" t="s">
        <v>8169</v>
      </c>
      <c r="D3803" t="s">
        <v>121</v>
      </c>
      <c r="E3803" t="s">
        <v>8170</v>
      </c>
      <c r="F3803" t="str">
        <f>"00402892"</f>
        <v>00402892</v>
      </c>
      <c r="G3803" t="s">
        <v>178</v>
      </c>
      <c r="H3803" t="s">
        <v>20</v>
      </c>
      <c r="I3803">
        <v>1519</v>
      </c>
      <c r="J3803" t="s">
        <v>21</v>
      </c>
      <c r="K3803">
        <v>0</v>
      </c>
      <c r="L3803" t="s">
        <v>35</v>
      </c>
      <c r="M3803">
        <v>1057</v>
      </c>
    </row>
    <row r="3804" spans="1:13">
      <c r="A3804">
        <v>3798</v>
      </c>
      <c r="B3804">
        <v>69241</v>
      </c>
      <c r="C3804" t="s">
        <v>8171</v>
      </c>
      <c r="D3804" t="s">
        <v>109</v>
      </c>
      <c r="E3804" t="s">
        <v>8172</v>
      </c>
      <c r="F3804" t="str">
        <f>"00398850"</f>
        <v>00398850</v>
      </c>
      <c r="G3804" t="s">
        <v>600</v>
      </c>
      <c r="H3804" t="s">
        <v>366</v>
      </c>
      <c r="I3804">
        <v>1694</v>
      </c>
      <c r="J3804" t="s">
        <v>21</v>
      </c>
      <c r="K3804">
        <v>0</v>
      </c>
      <c r="L3804" t="s">
        <v>35</v>
      </c>
      <c r="M3804">
        <v>1008</v>
      </c>
    </row>
    <row r="3805" spans="1:13">
      <c r="A3805">
        <v>3799</v>
      </c>
      <c r="B3805">
        <v>89225</v>
      </c>
      <c r="C3805" t="s">
        <v>8173</v>
      </c>
      <c r="D3805" t="s">
        <v>76</v>
      </c>
      <c r="E3805" t="s">
        <v>8174</v>
      </c>
      <c r="F3805" t="str">
        <f>"00362795"</f>
        <v>00362795</v>
      </c>
      <c r="G3805" t="s">
        <v>2768</v>
      </c>
      <c r="H3805" t="s">
        <v>20</v>
      </c>
      <c r="I3805">
        <v>1409</v>
      </c>
      <c r="J3805" t="s">
        <v>21</v>
      </c>
      <c r="K3805">
        <v>0</v>
      </c>
      <c r="L3805" t="s">
        <v>59</v>
      </c>
      <c r="M3805">
        <v>838</v>
      </c>
    </row>
    <row r="3806" spans="1:13">
      <c r="A3806">
        <v>3800</v>
      </c>
      <c r="B3806">
        <v>99404</v>
      </c>
      <c r="C3806" t="s">
        <v>8175</v>
      </c>
      <c r="D3806" t="s">
        <v>98</v>
      </c>
      <c r="E3806" t="s">
        <v>8176</v>
      </c>
      <c r="F3806" t="str">
        <f>"00384720"</f>
        <v>00384720</v>
      </c>
      <c r="G3806" t="s">
        <v>8177</v>
      </c>
      <c r="H3806" t="s">
        <v>274</v>
      </c>
      <c r="I3806">
        <v>1383</v>
      </c>
      <c r="J3806" t="s">
        <v>21</v>
      </c>
      <c r="K3806">
        <v>7</v>
      </c>
      <c r="M3806">
        <v>1300</v>
      </c>
    </row>
    <row r="3807" spans="1:13">
      <c r="A3807">
        <v>3801</v>
      </c>
      <c r="B3807">
        <v>80902</v>
      </c>
      <c r="C3807" t="s">
        <v>8178</v>
      </c>
      <c r="D3807" t="s">
        <v>105</v>
      </c>
      <c r="E3807" t="s">
        <v>8179</v>
      </c>
      <c r="F3807" t="str">
        <f>"00377766"</f>
        <v>00377766</v>
      </c>
      <c r="G3807" t="s">
        <v>230</v>
      </c>
      <c r="H3807" t="s">
        <v>20</v>
      </c>
      <c r="I3807">
        <v>1545</v>
      </c>
      <c r="J3807" t="s">
        <v>21</v>
      </c>
      <c r="K3807">
        <v>0</v>
      </c>
      <c r="L3807" t="s">
        <v>35</v>
      </c>
      <c r="M3807">
        <v>1008</v>
      </c>
    </row>
    <row r="3808" spans="1:13">
      <c r="A3808">
        <v>3802</v>
      </c>
      <c r="B3808">
        <v>83845</v>
      </c>
      <c r="C3808" t="s">
        <v>8180</v>
      </c>
      <c r="D3808" t="s">
        <v>180</v>
      </c>
      <c r="E3808" t="s">
        <v>8181</v>
      </c>
      <c r="F3808" t="str">
        <f>"00378432"</f>
        <v>00378432</v>
      </c>
      <c r="G3808" t="s">
        <v>178</v>
      </c>
      <c r="H3808" t="s">
        <v>20</v>
      </c>
      <c r="I3808">
        <v>1519</v>
      </c>
      <c r="J3808" t="s">
        <v>21</v>
      </c>
      <c r="K3808">
        <v>0</v>
      </c>
      <c r="M3808">
        <v>1538</v>
      </c>
    </row>
    <row r="3809" spans="1:13">
      <c r="A3809">
        <v>3803</v>
      </c>
      <c r="B3809">
        <v>81400</v>
      </c>
      <c r="C3809" t="s">
        <v>8182</v>
      </c>
      <c r="D3809" t="s">
        <v>5389</v>
      </c>
      <c r="E3809" t="s">
        <v>8183</v>
      </c>
      <c r="F3809" t="str">
        <f>"00407092"</f>
        <v>00407092</v>
      </c>
      <c r="G3809" t="s">
        <v>371</v>
      </c>
      <c r="H3809" t="s">
        <v>1671</v>
      </c>
      <c r="I3809">
        <v>1718</v>
      </c>
      <c r="J3809" t="s">
        <v>21</v>
      </c>
      <c r="K3809">
        <v>6</v>
      </c>
      <c r="M3809">
        <v>1138</v>
      </c>
    </row>
    <row r="3810" spans="1:13">
      <c r="A3810">
        <v>3804</v>
      </c>
      <c r="B3810">
        <v>114254</v>
      </c>
      <c r="C3810" t="s">
        <v>8184</v>
      </c>
      <c r="D3810" t="s">
        <v>105</v>
      </c>
      <c r="E3810" t="s">
        <v>8185</v>
      </c>
      <c r="F3810" t="str">
        <f>"00319027"</f>
        <v>00319027</v>
      </c>
      <c r="G3810" t="s">
        <v>583</v>
      </c>
      <c r="H3810" t="s">
        <v>137</v>
      </c>
      <c r="I3810">
        <v>1601</v>
      </c>
      <c r="J3810" t="s">
        <v>21</v>
      </c>
      <c r="K3810">
        <v>0</v>
      </c>
      <c r="L3810" t="s">
        <v>112</v>
      </c>
      <c r="M3810">
        <v>759</v>
      </c>
    </row>
    <row r="3811" spans="1:13">
      <c r="A3811">
        <v>3805</v>
      </c>
      <c r="B3811">
        <v>59088</v>
      </c>
      <c r="C3811" t="s">
        <v>8186</v>
      </c>
      <c r="D3811" t="s">
        <v>2130</v>
      </c>
      <c r="E3811" t="s">
        <v>8187</v>
      </c>
      <c r="F3811" t="str">
        <f>"200904000486"</f>
        <v>200904000486</v>
      </c>
      <c r="G3811" t="s">
        <v>24</v>
      </c>
      <c r="H3811" t="s">
        <v>20</v>
      </c>
      <c r="I3811">
        <v>1577</v>
      </c>
      <c r="J3811" t="s">
        <v>21</v>
      </c>
      <c r="K3811">
        <v>0</v>
      </c>
      <c r="L3811" t="s">
        <v>35</v>
      </c>
      <c r="M3811">
        <v>858</v>
      </c>
    </row>
    <row r="3812" spans="1:13">
      <c r="A3812">
        <v>3806</v>
      </c>
      <c r="B3812">
        <v>65820</v>
      </c>
      <c r="C3812" t="s">
        <v>8188</v>
      </c>
      <c r="D3812" t="s">
        <v>557</v>
      </c>
      <c r="E3812" t="s">
        <v>8189</v>
      </c>
      <c r="F3812" t="str">
        <f>"00350575"</f>
        <v>00350575</v>
      </c>
      <c r="G3812" t="s">
        <v>155</v>
      </c>
      <c r="H3812" t="s">
        <v>156</v>
      </c>
      <c r="I3812">
        <v>1342</v>
      </c>
      <c r="J3812" t="s">
        <v>21</v>
      </c>
      <c r="K3812">
        <v>0</v>
      </c>
      <c r="L3812" t="s">
        <v>35</v>
      </c>
      <c r="M3812">
        <v>1108</v>
      </c>
    </row>
    <row r="3813" spans="1:13">
      <c r="A3813">
        <v>3807</v>
      </c>
      <c r="B3813">
        <v>100438</v>
      </c>
      <c r="C3813" t="s">
        <v>8190</v>
      </c>
      <c r="D3813" t="s">
        <v>80</v>
      </c>
      <c r="E3813" t="s">
        <v>8191</v>
      </c>
      <c r="F3813" t="str">
        <f>"00381320"</f>
        <v>00381320</v>
      </c>
      <c r="G3813" t="s">
        <v>2440</v>
      </c>
      <c r="H3813" t="s">
        <v>20</v>
      </c>
      <c r="I3813">
        <v>1567</v>
      </c>
      <c r="J3813" t="s">
        <v>21</v>
      </c>
      <c r="K3813">
        <v>0</v>
      </c>
      <c r="L3813" t="s">
        <v>35</v>
      </c>
      <c r="M3813">
        <v>1308</v>
      </c>
    </row>
    <row r="3814" spans="1:13">
      <c r="A3814">
        <v>3808</v>
      </c>
      <c r="B3814">
        <v>103554</v>
      </c>
      <c r="C3814" t="s">
        <v>8192</v>
      </c>
      <c r="D3814" t="s">
        <v>905</v>
      </c>
      <c r="E3814" t="s">
        <v>8193</v>
      </c>
      <c r="F3814" t="str">
        <f>"00398340"</f>
        <v>00398340</v>
      </c>
      <c r="G3814" t="s">
        <v>325</v>
      </c>
      <c r="H3814" t="s">
        <v>326</v>
      </c>
      <c r="I3814">
        <v>1592</v>
      </c>
      <c r="J3814" t="s">
        <v>21</v>
      </c>
      <c r="K3814">
        <v>0</v>
      </c>
      <c r="L3814" t="s">
        <v>35</v>
      </c>
      <c r="M3814">
        <v>1036</v>
      </c>
    </row>
    <row r="3815" spans="1:13">
      <c r="A3815">
        <v>3809</v>
      </c>
      <c r="B3815">
        <v>91058</v>
      </c>
      <c r="C3815" t="s">
        <v>8194</v>
      </c>
      <c r="D3815" t="s">
        <v>105</v>
      </c>
      <c r="E3815" t="s">
        <v>8195</v>
      </c>
      <c r="F3815" t="str">
        <f>"00394040"</f>
        <v>00394040</v>
      </c>
      <c r="G3815" t="s">
        <v>488</v>
      </c>
      <c r="H3815" t="s">
        <v>20</v>
      </c>
      <c r="I3815">
        <v>1482</v>
      </c>
      <c r="J3815" t="s">
        <v>21</v>
      </c>
      <c r="K3815">
        <v>0</v>
      </c>
      <c r="L3815" t="s">
        <v>88</v>
      </c>
      <c r="M3815">
        <v>600</v>
      </c>
    </row>
    <row r="3816" spans="1:13">
      <c r="A3816">
        <v>3810</v>
      </c>
      <c r="B3816">
        <v>105087</v>
      </c>
      <c r="C3816" t="s">
        <v>8196</v>
      </c>
      <c r="D3816" t="s">
        <v>243</v>
      </c>
      <c r="E3816" t="s">
        <v>8197</v>
      </c>
      <c r="F3816" t="str">
        <f>"00406932"</f>
        <v>00406932</v>
      </c>
      <c r="G3816" t="s">
        <v>502</v>
      </c>
      <c r="H3816" t="s">
        <v>503</v>
      </c>
      <c r="I3816">
        <v>1359</v>
      </c>
      <c r="J3816" t="s">
        <v>21</v>
      </c>
      <c r="K3816">
        <v>0</v>
      </c>
      <c r="M3816">
        <v>1628</v>
      </c>
    </row>
    <row r="3817" spans="1:13">
      <c r="A3817">
        <v>3811</v>
      </c>
      <c r="B3817">
        <v>74450</v>
      </c>
      <c r="C3817" t="s">
        <v>8198</v>
      </c>
      <c r="D3817" t="s">
        <v>1385</v>
      </c>
      <c r="E3817" t="s">
        <v>8199</v>
      </c>
      <c r="F3817" t="str">
        <f>"00382018"</f>
        <v>00382018</v>
      </c>
      <c r="G3817" t="s">
        <v>24</v>
      </c>
      <c r="H3817" t="s">
        <v>20</v>
      </c>
      <c r="I3817">
        <v>1577</v>
      </c>
      <c r="J3817" t="s">
        <v>21</v>
      </c>
      <c r="K3817">
        <v>0</v>
      </c>
      <c r="L3817" t="s">
        <v>83</v>
      </c>
      <c r="M3817">
        <v>1228</v>
      </c>
    </row>
    <row r="3818" spans="1:13">
      <c r="A3818">
        <v>3812</v>
      </c>
      <c r="B3818">
        <v>49080</v>
      </c>
      <c r="C3818" t="s">
        <v>8200</v>
      </c>
      <c r="D3818" t="s">
        <v>80</v>
      </c>
      <c r="E3818" t="s">
        <v>8201</v>
      </c>
      <c r="F3818" t="str">
        <f>"00096251"</f>
        <v>00096251</v>
      </c>
      <c r="G3818" t="s">
        <v>1321</v>
      </c>
      <c r="H3818" t="s">
        <v>234</v>
      </c>
      <c r="I3818">
        <v>1330</v>
      </c>
      <c r="J3818" t="s">
        <v>21</v>
      </c>
      <c r="K3818">
        <v>0</v>
      </c>
      <c r="L3818" t="s">
        <v>35</v>
      </c>
      <c r="M3818">
        <v>1008</v>
      </c>
    </row>
    <row r="3819" spans="1:13">
      <c r="A3819">
        <v>3813</v>
      </c>
      <c r="B3819">
        <v>114386</v>
      </c>
      <c r="C3819" t="s">
        <v>8202</v>
      </c>
      <c r="D3819" t="s">
        <v>90</v>
      </c>
      <c r="E3819" t="s">
        <v>8203</v>
      </c>
      <c r="F3819" t="str">
        <f>"00422315"</f>
        <v>00422315</v>
      </c>
      <c r="G3819" t="s">
        <v>47</v>
      </c>
      <c r="H3819" t="s">
        <v>48</v>
      </c>
      <c r="I3819">
        <v>1623</v>
      </c>
      <c r="J3819" t="s">
        <v>21</v>
      </c>
      <c r="K3819">
        <v>0</v>
      </c>
      <c r="M3819">
        <v>1378</v>
      </c>
    </row>
    <row r="3820" spans="1:13">
      <c r="A3820">
        <v>3814</v>
      </c>
      <c r="B3820">
        <v>91152</v>
      </c>
      <c r="C3820" t="s">
        <v>8204</v>
      </c>
      <c r="D3820" t="s">
        <v>2684</v>
      </c>
      <c r="E3820" t="s">
        <v>8205</v>
      </c>
      <c r="F3820" t="str">
        <f>"00139281"</f>
        <v>00139281</v>
      </c>
      <c r="G3820" t="s">
        <v>600</v>
      </c>
      <c r="H3820" t="s">
        <v>366</v>
      </c>
      <c r="I3820">
        <v>1694</v>
      </c>
      <c r="J3820" t="s">
        <v>21</v>
      </c>
      <c r="K3820">
        <v>0</v>
      </c>
      <c r="M3820">
        <v>1428</v>
      </c>
    </row>
    <row r="3821" spans="1:13">
      <c r="A3821">
        <v>3815</v>
      </c>
      <c r="B3821">
        <v>91479</v>
      </c>
      <c r="C3821" t="s">
        <v>8206</v>
      </c>
      <c r="D3821" t="s">
        <v>180</v>
      </c>
      <c r="E3821" t="s">
        <v>8207</v>
      </c>
      <c r="F3821" t="str">
        <f>"00418777"</f>
        <v>00418777</v>
      </c>
      <c r="G3821" t="s">
        <v>107</v>
      </c>
      <c r="H3821" t="s">
        <v>20</v>
      </c>
      <c r="I3821">
        <v>1472</v>
      </c>
      <c r="J3821" t="s">
        <v>21</v>
      </c>
      <c r="K3821">
        <v>0</v>
      </c>
      <c r="L3821" t="s">
        <v>35</v>
      </c>
      <c r="M3821">
        <v>1000</v>
      </c>
    </row>
    <row r="3822" spans="1:13">
      <c r="A3822">
        <v>3816</v>
      </c>
      <c r="B3822">
        <v>110775</v>
      </c>
      <c r="C3822" t="s">
        <v>8208</v>
      </c>
      <c r="D3822" t="s">
        <v>2251</v>
      </c>
      <c r="E3822" t="s">
        <v>8209</v>
      </c>
      <c r="F3822" t="str">
        <f>"00391988"</f>
        <v>00391988</v>
      </c>
      <c r="G3822" t="s">
        <v>2228</v>
      </c>
      <c r="H3822" t="s">
        <v>20</v>
      </c>
      <c r="I3822">
        <v>1469</v>
      </c>
      <c r="J3822" t="s">
        <v>21</v>
      </c>
      <c r="K3822">
        <v>0</v>
      </c>
      <c r="L3822" t="s">
        <v>59</v>
      </c>
      <c r="M3822">
        <v>1028</v>
      </c>
    </row>
    <row r="3823" spans="1:13">
      <c r="A3823">
        <v>3817</v>
      </c>
      <c r="B3823">
        <v>72442</v>
      </c>
      <c r="C3823" t="s">
        <v>8210</v>
      </c>
      <c r="D3823" t="s">
        <v>76</v>
      </c>
      <c r="E3823" t="s">
        <v>8211</v>
      </c>
      <c r="F3823" t="str">
        <f>"00394886"</f>
        <v>00394886</v>
      </c>
      <c r="G3823" t="s">
        <v>341</v>
      </c>
      <c r="H3823" t="s">
        <v>20</v>
      </c>
      <c r="I3823">
        <v>1553</v>
      </c>
      <c r="J3823" t="s">
        <v>21</v>
      </c>
      <c r="K3823">
        <v>6</v>
      </c>
      <c r="L3823" t="s">
        <v>112</v>
      </c>
      <c r="M3823">
        <v>808</v>
      </c>
    </row>
    <row r="3824" spans="1:13">
      <c r="A3824">
        <v>3818</v>
      </c>
      <c r="B3824">
        <v>74634</v>
      </c>
      <c r="C3824" t="s">
        <v>8212</v>
      </c>
      <c r="D3824" t="s">
        <v>76</v>
      </c>
      <c r="E3824" t="s">
        <v>8213</v>
      </c>
      <c r="F3824" t="str">
        <f>"00379404"</f>
        <v>00379404</v>
      </c>
      <c r="G3824" t="s">
        <v>240</v>
      </c>
      <c r="H3824" t="s">
        <v>20</v>
      </c>
      <c r="I3824">
        <v>1535</v>
      </c>
      <c r="J3824" t="s">
        <v>21</v>
      </c>
      <c r="K3824">
        <v>6</v>
      </c>
      <c r="L3824" t="s">
        <v>83</v>
      </c>
      <c r="M3824">
        <v>1288</v>
      </c>
    </row>
    <row r="3825" spans="1:13">
      <c r="A3825">
        <v>3819</v>
      </c>
      <c r="B3825">
        <v>97619</v>
      </c>
      <c r="C3825" t="s">
        <v>8214</v>
      </c>
      <c r="D3825" t="s">
        <v>8215</v>
      </c>
      <c r="E3825" t="s">
        <v>8216</v>
      </c>
      <c r="F3825" t="str">
        <f>"00003275"</f>
        <v>00003275</v>
      </c>
      <c r="G3825" t="s">
        <v>107</v>
      </c>
      <c r="H3825" t="s">
        <v>20</v>
      </c>
      <c r="I3825">
        <v>1472</v>
      </c>
      <c r="J3825" t="s">
        <v>21</v>
      </c>
      <c r="K3825">
        <v>0</v>
      </c>
      <c r="L3825" t="s">
        <v>35</v>
      </c>
      <c r="M3825">
        <v>925</v>
      </c>
    </row>
    <row r="3826" spans="1:13">
      <c r="A3826">
        <v>3820</v>
      </c>
      <c r="B3826">
        <v>85797</v>
      </c>
      <c r="C3826" t="s">
        <v>8217</v>
      </c>
      <c r="D3826" t="s">
        <v>373</v>
      </c>
      <c r="E3826" t="s">
        <v>8218</v>
      </c>
      <c r="F3826" t="str">
        <f>"00348230"</f>
        <v>00348230</v>
      </c>
      <c r="G3826" t="s">
        <v>955</v>
      </c>
      <c r="H3826" t="s">
        <v>48</v>
      </c>
      <c r="I3826">
        <v>1630</v>
      </c>
      <c r="J3826" t="s">
        <v>21</v>
      </c>
      <c r="K3826">
        <v>0</v>
      </c>
      <c r="L3826" t="s">
        <v>35</v>
      </c>
      <c r="M3826">
        <v>858</v>
      </c>
    </row>
    <row r="3827" spans="1:13">
      <c r="A3827">
        <v>3821</v>
      </c>
      <c r="B3827">
        <v>115127</v>
      </c>
      <c r="C3827" t="s">
        <v>8219</v>
      </c>
      <c r="D3827" t="s">
        <v>105</v>
      </c>
      <c r="E3827" t="s">
        <v>8220</v>
      </c>
      <c r="F3827" t="str">
        <f>"00299220"</f>
        <v>00299220</v>
      </c>
      <c r="G3827" t="s">
        <v>3256</v>
      </c>
      <c r="H3827" t="s">
        <v>20</v>
      </c>
      <c r="I3827">
        <v>1418</v>
      </c>
      <c r="J3827" t="s">
        <v>21</v>
      </c>
      <c r="K3827">
        <v>0</v>
      </c>
      <c r="M3827">
        <v>1388</v>
      </c>
    </row>
    <row r="3828" spans="1:13">
      <c r="A3828">
        <v>3822</v>
      </c>
      <c r="B3828">
        <v>73628</v>
      </c>
      <c r="C3828" t="s">
        <v>8221</v>
      </c>
      <c r="D3828" t="s">
        <v>145</v>
      </c>
      <c r="E3828" t="s">
        <v>8222</v>
      </c>
      <c r="F3828" t="str">
        <f>"00174019"</f>
        <v>00174019</v>
      </c>
      <c r="G3828" t="s">
        <v>856</v>
      </c>
      <c r="H3828" t="s">
        <v>366</v>
      </c>
      <c r="I3828">
        <v>1706</v>
      </c>
      <c r="J3828" t="s">
        <v>21</v>
      </c>
      <c r="K3828">
        <v>0</v>
      </c>
      <c r="L3828" t="s">
        <v>35</v>
      </c>
      <c r="M3828">
        <v>903</v>
      </c>
    </row>
    <row r="3829" spans="1:13">
      <c r="A3829">
        <v>3823</v>
      </c>
      <c r="B3829">
        <v>101756</v>
      </c>
      <c r="C3829" t="s">
        <v>8223</v>
      </c>
      <c r="D3829" t="s">
        <v>198</v>
      </c>
      <c r="E3829" t="s">
        <v>8224</v>
      </c>
      <c r="F3829" t="str">
        <f>"00401606"</f>
        <v>00401606</v>
      </c>
      <c r="G3829" t="s">
        <v>468</v>
      </c>
      <c r="H3829" t="s">
        <v>20</v>
      </c>
      <c r="I3829">
        <v>1569</v>
      </c>
      <c r="J3829" t="s">
        <v>21</v>
      </c>
      <c r="K3829">
        <v>0</v>
      </c>
      <c r="M3829">
        <v>1378</v>
      </c>
    </row>
    <row r="3830" spans="1:13">
      <c r="A3830">
        <v>3824</v>
      </c>
      <c r="B3830">
        <v>81657</v>
      </c>
      <c r="C3830" t="s">
        <v>8225</v>
      </c>
      <c r="D3830" t="s">
        <v>218</v>
      </c>
      <c r="E3830" t="s">
        <v>8226</v>
      </c>
      <c r="F3830" t="str">
        <f>"00147370"</f>
        <v>00147370</v>
      </c>
      <c r="G3830" t="s">
        <v>395</v>
      </c>
      <c r="H3830" t="s">
        <v>234</v>
      </c>
      <c r="I3830">
        <v>1336</v>
      </c>
      <c r="J3830" t="s">
        <v>21</v>
      </c>
      <c r="K3830">
        <v>0</v>
      </c>
      <c r="L3830" t="s">
        <v>59</v>
      </c>
      <c r="M3830">
        <v>1088</v>
      </c>
    </row>
    <row r="3831" spans="1:13">
      <c r="A3831">
        <v>3825</v>
      </c>
      <c r="B3831">
        <v>105757</v>
      </c>
      <c r="C3831" t="s">
        <v>8227</v>
      </c>
      <c r="D3831" t="s">
        <v>6098</v>
      </c>
      <c r="E3831" t="s">
        <v>8228</v>
      </c>
      <c r="F3831" t="str">
        <f>"201106000113"</f>
        <v>201106000113</v>
      </c>
      <c r="G3831" t="s">
        <v>278</v>
      </c>
      <c r="H3831" t="s">
        <v>1499</v>
      </c>
      <c r="I3831">
        <v>1597</v>
      </c>
      <c r="J3831" t="s">
        <v>21</v>
      </c>
      <c r="K3831">
        <v>0</v>
      </c>
      <c r="L3831" t="s">
        <v>59</v>
      </c>
      <c r="M3831">
        <v>818</v>
      </c>
    </row>
    <row r="3832" spans="1:13">
      <c r="A3832">
        <v>3826</v>
      </c>
      <c r="B3832">
        <v>75775</v>
      </c>
      <c r="C3832" t="s">
        <v>8229</v>
      </c>
      <c r="D3832" t="s">
        <v>163</v>
      </c>
      <c r="E3832" t="s">
        <v>8230</v>
      </c>
      <c r="F3832" t="str">
        <f>"00398390"</f>
        <v>00398390</v>
      </c>
      <c r="G3832" t="s">
        <v>1695</v>
      </c>
      <c r="H3832" t="s">
        <v>20</v>
      </c>
      <c r="I3832">
        <v>1533</v>
      </c>
      <c r="J3832" t="s">
        <v>21</v>
      </c>
      <c r="K3832">
        <v>0</v>
      </c>
      <c r="L3832" t="s">
        <v>59</v>
      </c>
      <c r="M3832">
        <v>1128</v>
      </c>
    </row>
    <row r="3833" spans="1:13">
      <c r="A3833">
        <v>3827</v>
      </c>
      <c r="B3833">
        <v>91435</v>
      </c>
      <c r="C3833" t="s">
        <v>8231</v>
      </c>
      <c r="D3833" t="s">
        <v>80</v>
      </c>
      <c r="E3833" t="s">
        <v>8232</v>
      </c>
      <c r="F3833" t="str">
        <f>"00379085"</f>
        <v>00379085</v>
      </c>
      <c r="G3833" t="s">
        <v>358</v>
      </c>
      <c r="H3833" t="s">
        <v>3663</v>
      </c>
      <c r="I3833">
        <v>1367</v>
      </c>
      <c r="J3833" t="s">
        <v>21</v>
      </c>
      <c r="K3833">
        <v>0</v>
      </c>
      <c r="M3833">
        <v>1428</v>
      </c>
    </row>
    <row r="3834" spans="1:13">
      <c r="A3834">
        <v>3828</v>
      </c>
      <c r="B3834">
        <v>82261</v>
      </c>
      <c r="C3834" t="s">
        <v>8233</v>
      </c>
      <c r="D3834" t="s">
        <v>80</v>
      </c>
      <c r="E3834" t="s">
        <v>8234</v>
      </c>
      <c r="F3834" t="str">
        <f>"201406003737"</f>
        <v>201406003737</v>
      </c>
      <c r="G3834" t="s">
        <v>147</v>
      </c>
      <c r="H3834" t="s">
        <v>20</v>
      </c>
      <c r="I3834">
        <v>1529</v>
      </c>
      <c r="J3834" t="s">
        <v>21</v>
      </c>
      <c r="K3834">
        <v>0</v>
      </c>
      <c r="M3834">
        <v>1628</v>
      </c>
    </row>
    <row r="3835" spans="1:13">
      <c r="A3835">
        <v>3829</v>
      </c>
      <c r="B3835">
        <v>112420</v>
      </c>
      <c r="C3835" t="s">
        <v>8235</v>
      </c>
      <c r="D3835" t="s">
        <v>163</v>
      </c>
      <c r="E3835" t="s">
        <v>8236</v>
      </c>
      <c r="F3835" t="str">
        <f>"201511006361"</f>
        <v>201511006361</v>
      </c>
      <c r="G3835" t="s">
        <v>721</v>
      </c>
      <c r="H3835" t="s">
        <v>20</v>
      </c>
      <c r="I3835">
        <v>1575</v>
      </c>
      <c r="J3835" t="s">
        <v>21</v>
      </c>
      <c r="K3835">
        <v>0</v>
      </c>
      <c r="L3835" t="s">
        <v>35</v>
      </c>
      <c r="M3835">
        <v>875</v>
      </c>
    </row>
    <row r="3836" spans="1:13">
      <c r="A3836">
        <v>3830</v>
      </c>
      <c r="B3836">
        <v>76859</v>
      </c>
      <c r="C3836" t="s">
        <v>8237</v>
      </c>
      <c r="D3836" t="s">
        <v>8238</v>
      </c>
      <c r="E3836" t="s">
        <v>8239</v>
      </c>
      <c r="F3836" t="str">
        <f>"00311218"</f>
        <v>00311218</v>
      </c>
      <c r="G3836" t="s">
        <v>150</v>
      </c>
      <c r="H3836" t="s">
        <v>151</v>
      </c>
      <c r="I3836">
        <v>1699</v>
      </c>
      <c r="J3836" t="s">
        <v>21</v>
      </c>
      <c r="K3836">
        <v>0</v>
      </c>
      <c r="L3836" t="s">
        <v>35</v>
      </c>
      <c r="M3836">
        <v>911</v>
      </c>
    </row>
    <row r="3837" spans="1:13">
      <c r="A3837">
        <v>3831</v>
      </c>
      <c r="B3837">
        <v>100895</v>
      </c>
      <c r="C3837" t="s">
        <v>8240</v>
      </c>
      <c r="D3837" t="s">
        <v>218</v>
      </c>
      <c r="E3837" t="s">
        <v>8241</v>
      </c>
      <c r="F3837" t="str">
        <f>"00305277"</f>
        <v>00305277</v>
      </c>
      <c r="G3837" t="s">
        <v>82</v>
      </c>
      <c r="H3837" t="s">
        <v>20</v>
      </c>
      <c r="I3837">
        <v>1475</v>
      </c>
      <c r="J3837" t="s">
        <v>21</v>
      </c>
      <c r="K3837">
        <v>0</v>
      </c>
      <c r="L3837" t="s">
        <v>59</v>
      </c>
      <c r="M3837">
        <v>1188</v>
      </c>
    </row>
    <row r="3838" spans="1:13">
      <c r="A3838">
        <v>3832</v>
      </c>
      <c r="B3838">
        <v>104842</v>
      </c>
      <c r="C3838" t="s">
        <v>8242</v>
      </c>
      <c r="D3838" t="s">
        <v>566</v>
      </c>
      <c r="E3838" t="s">
        <v>8243</v>
      </c>
      <c r="F3838" t="str">
        <f>"00386372"</f>
        <v>00386372</v>
      </c>
      <c r="G3838" t="s">
        <v>352</v>
      </c>
      <c r="H3838" t="s">
        <v>20</v>
      </c>
      <c r="I3838">
        <v>1471</v>
      </c>
      <c r="J3838" t="s">
        <v>21</v>
      </c>
      <c r="K3838">
        <v>0</v>
      </c>
      <c r="L3838" t="s">
        <v>35</v>
      </c>
      <c r="M3838">
        <v>1050</v>
      </c>
    </row>
    <row r="3839" spans="1:13">
      <c r="A3839">
        <v>3833</v>
      </c>
      <c r="B3839">
        <v>77862</v>
      </c>
      <c r="C3839" t="s">
        <v>8244</v>
      </c>
      <c r="D3839" t="s">
        <v>180</v>
      </c>
      <c r="E3839" t="s">
        <v>8245</v>
      </c>
      <c r="F3839" t="str">
        <f>"00369279"</f>
        <v>00369279</v>
      </c>
      <c r="G3839" t="s">
        <v>683</v>
      </c>
      <c r="H3839" t="s">
        <v>535</v>
      </c>
      <c r="I3839">
        <v>1670</v>
      </c>
      <c r="J3839" t="s">
        <v>21</v>
      </c>
      <c r="K3839">
        <v>0</v>
      </c>
      <c r="M3839">
        <v>1298</v>
      </c>
    </row>
    <row r="3840" spans="1:13">
      <c r="A3840">
        <v>3834</v>
      </c>
      <c r="B3840">
        <v>65023</v>
      </c>
      <c r="C3840" t="s">
        <v>8246</v>
      </c>
      <c r="D3840" t="s">
        <v>76</v>
      </c>
      <c r="E3840" t="s">
        <v>8247</v>
      </c>
      <c r="F3840" t="str">
        <f>"00357316"</f>
        <v>00357316</v>
      </c>
      <c r="G3840" t="s">
        <v>47</v>
      </c>
      <c r="H3840" t="s">
        <v>48</v>
      </c>
      <c r="I3840">
        <v>1623</v>
      </c>
      <c r="J3840" t="s">
        <v>21</v>
      </c>
      <c r="K3840">
        <v>0</v>
      </c>
      <c r="M3840">
        <v>1338</v>
      </c>
    </row>
    <row r="3841" spans="1:13">
      <c r="A3841">
        <v>3835</v>
      </c>
      <c r="B3841">
        <v>67228</v>
      </c>
      <c r="C3841" t="s">
        <v>8248</v>
      </c>
      <c r="D3841" t="s">
        <v>2823</v>
      </c>
      <c r="E3841" t="s">
        <v>8249</v>
      </c>
      <c r="F3841" t="str">
        <f>"00395489"</f>
        <v>00395489</v>
      </c>
      <c r="G3841" t="s">
        <v>1595</v>
      </c>
      <c r="H3841" t="s">
        <v>20</v>
      </c>
      <c r="I3841">
        <v>1538</v>
      </c>
      <c r="J3841" t="s">
        <v>21</v>
      </c>
      <c r="K3841">
        <v>6</v>
      </c>
      <c r="M3841">
        <v>1413</v>
      </c>
    </row>
    <row r="3842" spans="1:13">
      <c r="A3842">
        <v>3836</v>
      </c>
      <c r="B3842">
        <v>53851</v>
      </c>
      <c r="C3842" t="s">
        <v>8250</v>
      </c>
      <c r="D3842" t="s">
        <v>243</v>
      </c>
      <c r="E3842" t="s">
        <v>8251</v>
      </c>
      <c r="F3842" t="str">
        <f>"00339954"</f>
        <v>00339954</v>
      </c>
      <c r="G3842" t="s">
        <v>38</v>
      </c>
      <c r="H3842" t="s">
        <v>39</v>
      </c>
      <c r="I3842">
        <v>1634</v>
      </c>
      <c r="J3842" t="s">
        <v>21</v>
      </c>
      <c r="K3842">
        <v>6</v>
      </c>
      <c r="M3842">
        <v>1118</v>
      </c>
    </row>
    <row r="3843" spans="1:13">
      <c r="A3843">
        <v>3837</v>
      </c>
      <c r="B3843">
        <v>72853</v>
      </c>
      <c r="C3843" t="s">
        <v>8252</v>
      </c>
      <c r="D3843" t="s">
        <v>6413</v>
      </c>
      <c r="E3843" t="s">
        <v>8253</v>
      </c>
      <c r="F3843" t="str">
        <f>"201511007061"</f>
        <v>201511007061</v>
      </c>
      <c r="G3843" t="s">
        <v>639</v>
      </c>
      <c r="H3843" t="s">
        <v>48</v>
      </c>
      <c r="I3843">
        <v>1629</v>
      </c>
      <c r="J3843" t="s">
        <v>21</v>
      </c>
      <c r="K3843">
        <v>0</v>
      </c>
      <c r="L3843" t="s">
        <v>35</v>
      </c>
      <c r="M3843">
        <v>823</v>
      </c>
    </row>
    <row r="3844" spans="1:13">
      <c r="A3844">
        <v>3838</v>
      </c>
      <c r="B3844">
        <v>46598</v>
      </c>
      <c r="C3844" t="s">
        <v>8254</v>
      </c>
      <c r="D3844" t="s">
        <v>316</v>
      </c>
      <c r="E3844" t="s">
        <v>8255</v>
      </c>
      <c r="F3844" t="str">
        <f>"201406004695"</f>
        <v>201406004695</v>
      </c>
      <c r="G3844" t="s">
        <v>1764</v>
      </c>
      <c r="H3844" t="s">
        <v>20</v>
      </c>
      <c r="I3844">
        <v>1532</v>
      </c>
      <c r="J3844" t="s">
        <v>21</v>
      </c>
      <c r="K3844">
        <v>0</v>
      </c>
      <c r="L3844" t="s">
        <v>35</v>
      </c>
      <c r="M3844">
        <v>908</v>
      </c>
    </row>
    <row r="3845" spans="1:13">
      <c r="A3845">
        <v>3839</v>
      </c>
      <c r="B3845">
        <v>101252</v>
      </c>
      <c r="C3845" t="s">
        <v>8256</v>
      </c>
      <c r="D3845" t="s">
        <v>130</v>
      </c>
      <c r="E3845" t="s">
        <v>8257</v>
      </c>
      <c r="F3845" t="str">
        <f>"00389339"</f>
        <v>00389339</v>
      </c>
      <c r="G3845" t="s">
        <v>19</v>
      </c>
      <c r="H3845" t="s">
        <v>20</v>
      </c>
      <c r="I3845">
        <v>1531</v>
      </c>
      <c r="J3845" t="s">
        <v>21</v>
      </c>
      <c r="K3845">
        <v>0</v>
      </c>
      <c r="M3845">
        <v>1728</v>
      </c>
    </row>
    <row r="3846" spans="1:13">
      <c r="A3846">
        <v>3840</v>
      </c>
      <c r="B3846">
        <v>108146</v>
      </c>
      <c r="C3846" t="s">
        <v>8258</v>
      </c>
      <c r="D3846" t="s">
        <v>238</v>
      </c>
      <c r="E3846" t="s">
        <v>8259</v>
      </c>
      <c r="F3846" t="str">
        <f>"00340271"</f>
        <v>00340271</v>
      </c>
      <c r="G3846" t="s">
        <v>96</v>
      </c>
      <c r="H3846" t="s">
        <v>20</v>
      </c>
      <c r="I3846">
        <v>1474</v>
      </c>
      <c r="J3846" t="s">
        <v>21</v>
      </c>
      <c r="K3846">
        <v>0</v>
      </c>
      <c r="L3846" t="s">
        <v>112</v>
      </c>
      <c r="M3846">
        <v>950</v>
      </c>
    </row>
    <row r="3847" spans="1:13">
      <c r="A3847">
        <v>3841</v>
      </c>
      <c r="B3847">
        <v>64558</v>
      </c>
      <c r="C3847" t="s">
        <v>8260</v>
      </c>
      <c r="D3847" t="s">
        <v>180</v>
      </c>
      <c r="E3847" t="s">
        <v>8261</v>
      </c>
      <c r="F3847" t="str">
        <f>"00356326"</f>
        <v>00356326</v>
      </c>
      <c r="G3847" t="s">
        <v>8262</v>
      </c>
      <c r="H3847" t="s">
        <v>20</v>
      </c>
      <c r="I3847">
        <v>1559</v>
      </c>
      <c r="J3847" t="s">
        <v>21</v>
      </c>
      <c r="K3847">
        <v>6</v>
      </c>
      <c r="M3847">
        <v>1928</v>
      </c>
    </row>
    <row r="3848" spans="1:13">
      <c r="A3848">
        <v>3842</v>
      </c>
      <c r="B3848">
        <v>49730</v>
      </c>
      <c r="C3848" t="s">
        <v>8263</v>
      </c>
      <c r="D3848" t="s">
        <v>102</v>
      </c>
      <c r="E3848" t="s">
        <v>8264</v>
      </c>
      <c r="F3848" t="str">
        <f>"00253393"</f>
        <v>00253393</v>
      </c>
      <c r="G3848" t="s">
        <v>47</v>
      </c>
      <c r="H3848" t="s">
        <v>48</v>
      </c>
      <c r="I3848">
        <v>1623</v>
      </c>
      <c r="J3848" t="s">
        <v>21</v>
      </c>
      <c r="K3848">
        <v>0</v>
      </c>
      <c r="M3848">
        <v>1438</v>
      </c>
    </row>
    <row r="3849" spans="1:13">
      <c r="A3849">
        <v>3843</v>
      </c>
      <c r="B3849">
        <v>62586</v>
      </c>
      <c r="C3849" t="s">
        <v>8265</v>
      </c>
      <c r="D3849" t="s">
        <v>243</v>
      </c>
      <c r="E3849" t="s">
        <v>8266</v>
      </c>
      <c r="F3849" t="str">
        <f>"00279014"</f>
        <v>00279014</v>
      </c>
      <c r="G3849" t="s">
        <v>273</v>
      </c>
      <c r="H3849" t="s">
        <v>274</v>
      </c>
      <c r="I3849">
        <v>1395</v>
      </c>
      <c r="J3849" t="s">
        <v>21</v>
      </c>
      <c r="K3849">
        <v>0</v>
      </c>
      <c r="L3849" t="s">
        <v>35</v>
      </c>
      <c r="M3849">
        <v>957</v>
      </c>
    </row>
    <row r="3850" spans="1:13">
      <c r="A3850">
        <v>3844</v>
      </c>
      <c r="B3850">
        <v>65737</v>
      </c>
      <c r="C3850" t="s">
        <v>8267</v>
      </c>
      <c r="D3850" t="s">
        <v>80</v>
      </c>
      <c r="E3850" t="s">
        <v>8268</v>
      </c>
      <c r="F3850" t="str">
        <f>"00253125"</f>
        <v>00253125</v>
      </c>
      <c r="G3850" t="s">
        <v>3121</v>
      </c>
      <c r="H3850" t="s">
        <v>20</v>
      </c>
      <c r="I3850">
        <v>1491</v>
      </c>
      <c r="J3850" t="s">
        <v>21</v>
      </c>
      <c r="K3850">
        <v>0</v>
      </c>
      <c r="L3850" t="s">
        <v>35</v>
      </c>
      <c r="M3850">
        <v>1052</v>
      </c>
    </row>
    <row r="3851" spans="1:13">
      <c r="A3851">
        <v>3845</v>
      </c>
      <c r="B3851">
        <v>70962</v>
      </c>
      <c r="C3851" t="s">
        <v>8269</v>
      </c>
      <c r="D3851" t="s">
        <v>243</v>
      </c>
      <c r="E3851" t="s">
        <v>8270</v>
      </c>
      <c r="F3851" t="str">
        <f>"00079782"</f>
        <v>00079782</v>
      </c>
      <c r="G3851" t="s">
        <v>606</v>
      </c>
      <c r="H3851" t="s">
        <v>607</v>
      </c>
      <c r="I3851">
        <v>1343</v>
      </c>
      <c r="J3851" t="s">
        <v>21</v>
      </c>
      <c r="K3851">
        <v>0</v>
      </c>
      <c r="L3851" t="s">
        <v>35</v>
      </c>
      <c r="M3851">
        <v>1100</v>
      </c>
    </row>
    <row r="3852" spans="1:13">
      <c r="A3852">
        <v>3846</v>
      </c>
      <c r="B3852">
        <v>113497</v>
      </c>
      <c r="C3852" t="s">
        <v>8271</v>
      </c>
      <c r="D3852" t="s">
        <v>180</v>
      </c>
      <c r="E3852" t="s">
        <v>8272</v>
      </c>
      <c r="F3852" t="str">
        <f>"00411301"</f>
        <v>00411301</v>
      </c>
      <c r="G3852" t="s">
        <v>1764</v>
      </c>
      <c r="H3852" t="s">
        <v>20</v>
      </c>
      <c r="I3852">
        <v>1532</v>
      </c>
      <c r="J3852" t="s">
        <v>21</v>
      </c>
      <c r="K3852">
        <v>0</v>
      </c>
      <c r="M3852">
        <v>1478</v>
      </c>
    </row>
    <row r="3853" spans="1:13">
      <c r="A3853">
        <v>3847</v>
      </c>
      <c r="B3853">
        <v>65086</v>
      </c>
      <c r="C3853" t="s">
        <v>8273</v>
      </c>
      <c r="D3853" t="s">
        <v>163</v>
      </c>
      <c r="E3853" t="s">
        <v>8274</v>
      </c>
      <c r="F3853" t="str">
        <f>"00266254"</f>
        <v>00266254</v>
      </c>
      <c r="G3853" t="s">
        <v>1084</v>
      </c>
      <c r="H3853" t="s">
        <v>1085</v>
      </c>
      <c r="I3853">
        <v>1588</v>
      </c>
      <c r="J3853" t="s">
        <v>21</v>
      </c>
      <c r="K3853">
        <v>0</v>
      </c>
      <c r="L3853" t="s">
        <v>35</v>
      </c>
      <c r="M3853">
        <v>872</v>
      </c>
    </row>
    <row r="3854" spans="1:13">
      <c r="A3854">
        <v>3848</v>
      </c>
      <c r="B3854">
        <v>67621</v>
      </c>
      <c r="C3854" t="s">
        <v>8275</v>
      </c>
      <c r="D3854" t="s">
        <v>109</v>
      </c>
      <c r="E3854" t="s">
        <v>8276</v>
      </c>
      <c r="F3854" t="str">
        <f>"00367043"</f>
        <v>00367043</v>
      </c>
      <c r="G3854" t="s">
        <v>150</v>
      </c>
      <c r="H3854" t="s">
        <v>151</v>
      </c>
      <c r="I3854">
        <v>1699</v>
      </c>
      <c r="J3854" t="s">
        <v>21</v>
      </c>
      <c r="K3854">
        <v>0</v>
      </c>
      <c r="M3854">
        <v>1528</v>
      </c>
    </row>
    <row r="3855" spans="1:13">
      <c r="A3855">
        <v>3849</v>
      </c>
      <c r="B3855">
        <v>102775</v>
      </c>
      <c r="C3855" t="s">
        <v>8277</v>
      </c>
      <c r="D3855" t="s">
        <v>205</v>
      </c>
      <c r="E3855" t="s">
        <v>8278</v>
      </c>
      <c r="F3855" t="str">
        <f>"00388601"</f>
        <v>00388601</v>
      </c>
      <c r="G3855" t="s">
        <v>125</v>
      </c>
      <c r="H3855" t="s">
        <v>20</v>
      </c>
      <c r="I3855">
        <v>1507</v>
      </c>
      <c r="J3855" t="s">
        <v>21</v>
      </c>
      <c r="K3855">
        <v>0</v>
      </c>
      <c r="L3855" t="s">
        <v>35</v>
      </c>
      <c r="M3855">
        <v>958</v>
      </c>
    </row>
    <row r="3856" spans="1:13">
      <c r="A3856">
        <v>3850</v>
      </c>
      <c r="B3856">
        <v>55936</v>
      </c>
      <c r="C3856" t="s">
        <v>8279</v>
      </c>
      <c r="D3856" t="s">
        <v>2467</v>
      </c>
      <c r="E3856" t="s">
        <v>8280</v>
      </c>
      <c r="F3856" t="str">
        <f>"00284843"</f>
        <v>00284843</v>
      </c>
      <c r="G3856" t="s">
        <v>1321</v>
      </c>
      <c r="H3856" t="s">
        <v>234</v>
      </c>
      <c r="I3856">
        <v>1330</v>
      </c>
      <c r="J3856" t="s">
        <v>21</v>
      </c>
      <c r="K3856">
        <v>0</v>
      </c>
      <c r="L3856" t="s">
        <v>88</v>
      </c>
      <c r="M3856">
        <v>912</v>
      </c>
    </row>
    <row r="3857" spans="1:13">
      <c r="A3857">
        <v>3851</v>
      </c>
      <c r="B3857">
        <v>89045</v>
      </c>
      <c r="C3857" t="s">
        <v>8281</v>
      </c>
      <c r="D3857" t="s">
        <v>163</v>
      </c>
      <c r="E3857" t="s">
        <v>8282</v>
      </c>
      <c r="F3857" t="str">
        <f>"00380663"</f>
        <v>00380663</v>
      </c>
      <c r="G3857" t="s">
        <v>107</v>
      </c>
      <c r="H3857" t="s">
        <v>20</v>
      </c>
      <c r="I3857">
        <v>1472</v>
      </c>
      <c r="J3857" t="s">
        <v>21</v>
      </c>
      <c r="K3857">
        <v>0</v>
      </c>
      <c r="L3857" t="s">
        <v>35</v>
      </c>
      <c r="M3857">
        <v>908</v>
      </c>
    </row>
    <row r="3858" spans="1:13">
      <c r="A3858">
        <v>3852</v>
      </c>
      <c r="B3858">
        <v>92268</v>
      </c>
      <c r="C3858" t="s">
        <v>8283</v>
      </c>
      <c r="D3858" t="s">
        <v>76</v>
      </c>
      <c r="E3858" t="s">
        <v>8284</v>
      </c>
      <c r="F3858" t="str">
        <f>"00386900"</f>
        <v>00386900</v>
      </c>
      <c r="G3858" t="s">
        <v>3100</v>
      </c>
      <c r="H3858" t="s">
        <v>20</v>
      </c>
      <c r="I3858">
        <v>1536</v>
      </c>
      <c r="J3858" t="s">
        <v>21</v>
      </c>
      <c r="K3858">
        <v>6</v>
      </c>
      <c r="M3858">
        <v>1428</v>
      </c>
    </row>
    <row r="3859" spans="1:13">
      <c r="A3859">
        <v>3853</v>
      </c>
      <c r="B3859">
        <v>73395</v>
      </c>
      <c r="C3859" t="s">
        <v>8285</v>
      </c>
      <c r="D3859" t="s">
        <v>8286</v>
      </c>
      <c r="E3859" t="s">
        <v>8287</v>
      </c>
      <c r="F3859" t="str">
        <f>"00408629"</f>
        <v>00408629</v>
      </c>
      <c r="G3859" t="s">
        <v>107</v>
      </c>
      <c r="H3859" t="s">
        <v>20</v>
      </c>
      <c r="I3859">
        <v>1472</v>
      </c>
      <c r="J3859" t="s">
        <v>21</v>
      </c>
      <c r="K3859">
        <v>0</v>
      </c>
      <c r="L3859" t="s">
        <v>35</v>
      </c>
      <c r="M3859">
        <v>908</v>
      </c>
    </row>
    <row r="3860" spans="1:13">
      <c r="A3860">
        <v>3854</v>
      </c>
      <c r="B3860">
        <v>105767</v>
      </c>
      <c r="C3860" t="s">
        <v>8288</v>
      </c>
      <c r="D3860" t="s">
        <v>209</v>
      </c>
      <c r="E3860" t="s">
        <v>8289</v>
      </c>
      <c r="F3860" t="str">
        <f>"00354161"</f>
        <v>00354161</v>
      </c>
      <c r="G3860" t="s">
        <v>721</v>
      </c>
      <c r="H3860" t="s">
        <v>20</v>
      </c>
      <c r="I3860">
        <v>1575</v>
      </c>
      <c r="J3860" t="s">
        <v>21</v>
      </c>
      <c r="K3860">
        <v>0</v>
      </c>
      <c r="M3860">
        <v>1740</v>
      </c>
    </row>
    <row r="3861" spans="1:13">
      <c r="A3861">
        <v>3855</v>
      </c>
      <c r="B3861">
        <v>113924</v>
      </c>
      <c r="C3861" t="s">
        <v>8290</v>
      </c>
      <c r="D3861" t="s">
        <v>218</v>
      </c>
      <c r="E3861" t="s">
        <v>8291</v>
      </c>
      <c r="F3861" t="str">
        <f>"00403630"</f>
        <v>00403630</v>
      </c>
      <c r="G3861" t="s">
        <v>215</v>
      </c>
      <c r="H3861" t="s">
        <v>216</v>
      </c>
      <c r="I3861">
        <v>1708</v>
      </c>
      <c r="J3861" t="s">
        <v>21</v>
      </c>
      <c r="K3861">
        <v>6</v>
      </c>
      <c r="L3861" t="s">
        <v>59</v>
      </c>
      <c r="M3861">
        <v>838</v>
      </c>
    </row>
    <row r="3862" spans="1:13">
      <c r="A3862">
        <v>3856</v>
      </c>
      <c r="B3862">
        <v>72652</v>
      </c>
      <c r="C3862" t="s">
        <v>8292</v>
      </c>
      <c r="D3862" t="s">
        <v>105</v>
      </c>
      <c r="E3862" t="s">
        <v>8293</v>
      </c>
      <c r="F3862" t="str">
        <f>"200910000487"</f>
        <v>200910000487</v>
      </c>
      <c r="G3862" t="s">
        <v>82</v>
      </c>
      <c r="H3862" t="s">
        <v>20</v>
      </c>
      <c r="I3862">
        <v>1475</v>
      </c>
      <c r="J3862" t="s">
        <v>21</v>
      </c>
      <c r="K3862">
        <v>0</v>
      </c>
      <c r="L3862" t="s">
        <v>35</v>
      </c>
      <c r="M3862">
        <v>908</v>
      </c>
    </row>
    <row r="3863" spans="1:13">
      <c r="A3863">
        <v>3857</v>
      </c>
      <c r="B3863">
        <v>83645</v>
      </c>
      <c r="C3863" t="s">
        <v>8294</v>
      </c>
      <c r="D3863" t="s">
        <v>180</v>
      </c>
      <c r="E3863" t="s">
        <v>8295</v>
      </c>
      <c r="F3863" t="str">
        <f>"00363321"</f>
        <v>00363321</v>
      </c>
      <c r="G3863" t="s">
        <v>955</v>
      </c>
      <c r="H3863" t="s">
        <v>48</v>
      </c>
      <c r="I3863">
        <v>1630</v>
      </c>
      <c r="J3863" t="s">
        <v>21</v>
      </c>
      <c r="K3863">
        <v>0</v>
      </c>
      <c r="L3863" t="s">
        <v>83</v>
      </c>
      <c r="M3863">
        <v>1288</v>
      </c>
    </row>
    <row r="3864" spans="1:13">
      <c r="A3864">
        <v>3858</v>
      </c>
      <c r="B3864">
        <v>75841</v>
      </c>
      <c r="C3864" t="s">
        <v>8296</v>
      </c>
      <c r="D3864" t="s">
        <v>557</v>
      </c>
      <c r="E3864" t="s">
        <v>8297</v>
      </c>
      <c r="F3864" t="str">
        <f>"00386685"</f>
        <v>00386685</v>
      </c>
      <c r="G3864" t="s">
        <v>2440</v>
      </c>
      <c r="H3864" t="s">
        <v>20</v>
      </c>
      <c r="I3864">
        <v>1567</v>
      </c>
      <c r="J3864" t="s">
        <v>21</v>
      </c>
      <c r="K3864">
        <v>0</v>
      </c>
      <c r="L3864" t="s">
        <v>83</v>
      </c>
      <c r="M3864">
        <v>1378</v>
      </c>
    </row>
    <row r="3865" spans="1:13">
      <c r="A3865">
        <v>3859</v>
      </c>
      <c r="B3865">
        <v>103987</v>
      </c>
      <c r="C3865" t="s">
        <v>8298</v>
      </c>
      <c r="D3865" t="s">
        <v>243</v>
      </c>
      <c r="E3865" t="s">
        <v>8299</v>
      </c>
      <c r="F3865" t="str">
        <f>"00252274"</f>
        <v>00252274</v>
      </c>
      <c r="G3865" t="s">
        <v>1595</v>
      </c>
      <c r="H3865" t="s">
        <v>20</v>
      </c>
      <c r="I3865">
        <v>1538</v>
      </c>
      <c r="J3865" t="s">
        <v>21</v>
      </c>
      <c r="K3865">
        <v>6</v>
      </c>
      <c r="M3865">
        <v>1228</v>
      </c>
    </row>
    <row r="3866" spans="1:13">
      <c r="A3866">
        <v>3860</v>
      </c>
      <c r="B3866">
        <v>97353</v>
      </c>
      <c r="C3866" t="s">
        <v>8298</v>
      </c>
      <c r="D3866" t="s">
        <v>163</v>
      </c>
      <c r="E3866" t="s">
        <v>8300</v>
      </c>
      <c r="F3866" t="str">
        <f>"00271143"</f>
        <v>00271143</v>
      </c>
      <c r="G3866" t="s">
        <v>70</v>
      </c>
      <c r="H3866" t="s">
        <v>71</v>
      </c>
      <c r="I3866">
        <v>1702</v>
      </c>
      <c r="J3866" t="s">
        <v>21</v>
      </c>
      <c r="K3866">
        <v>0</v>
      </c>
      <c r="M3866">
        <v>1408</v>
      </c>
    </row>
    <row r="3867" spans="1:13">
      <c r="A3867">
        <v>3861</v>
      </c>
      <c r="B3867">
        <v>84197</v>
      </c>
      <c r="C3867" t="s">
        <v>8301</v>
      </c>
      <c r="D3867" t="s">
        <v>102</v>
      </c>
      <c r="E3867" t="s">
        <v>8302</v>
      </c>
      <c r="F3867" t="str">
        <f>"201511023517"</f>
        <v>201511023517</v>
      </c>
      <c r="G3867" t="s">
        <v>3854</v>
      </c>
      <c r="H3867" t="s">
        <v>308</v>
      </c>
      <c r="I3867">
        <v>1591</v>
      </c>
      <c r="J3867" t="s">
        <v>21</v>
      </c>
      <c r="K3867">
        <v>0</v>
      </c>
      <c r="L3867" t="s">
        <v>35</v>
      </c>
      <c r="M3867">
        <v>1000</v>
      </c>
    </row>
    <row r="3868" spans="1:13">
      <c r="A3868">
        <v>3862</v>
      </c>
      <c r="B3868">
        <v>90294</v>
      </c>
      <c r="C3868" t="s">
        <v>8303</v>
      </c>
      <c r="D3868" t="s">
        <v>76</v>
      </c>
      <c r="E3868" t="s">
        <v>8304</v>
      </c>
      <c r="F3868" t="str">
        <f>"00260342"</f>
        <v>00260342</v>
      </c>
      <c r="G3868" t="s">
        <v>2440</v>
      </c>
      <c r="H3868" t="s">
        <v>20</v>
      </c>
      <c r="I3868">
        <v>1567</v>
      </c>
      <c r="J3868" t="s">
        <v>21</v>
      </c>
      <c r="K3868">
        <v>0</v>
      </c>
      <c r="M3868">
        <v>1395</v>
      </c>
    </row>
    <row r="3869" spans="1:13">
      <c r="A3869">
        <v>3863</v>
      </c>
      <c r="B3869">
        <v>108785</v>
      </c>
      <c r="C3869" t="s">
        <v>8305</v>
      </c>
      <c r="D3869" t="s">
        <v>102</v>
      </c>
      <c r="E3869" t="s">
        <v>8306</v>
      </c>
      <c r="F3869" t="str">
        <f>"00408283"</f>
        <v>00408283</v>
      </c>
      <c r="G3869" t="s">
        <v>696</v>
      </c>
      <c r="H3869" t="s">
        <v>20</v>
      </c>
      <c r="I3869">
        <v>1520</v>
      </c>
      <c r="J3869" t="s">
        <v>21</v>
      </c>
      <c r="K3869">
        <v>0</v>
      </c>
      <c r="L3869" t="s">
        <v>59</v>
      </c>
      <c r="M3869">
        <v>1100</v>
      </c>
    </row>
    <row r="3870" spans="1:13">
      <c r="A3870">
        <v>3864</v>
      </c>
      <c r="B3870">
        <v>73774</v>
      </c>
      <c r="C3870" t="s">
        <v>8307</v>
      </c>
      <c r="D3870" t="s">
        <v>90</v>
      </c>
      <c r="E3870" t="s">
        <v>8308</v>
      </c>
      <c r="F3870" t="str">
        <f>"00274701"</f>
        <v>00274701</v>
      </c>
      <c r="G3870" t="s">
        <v>2440</v>
      </c>
      <c r="H3870" t="s">
        <v>20</v>
      </c>
      <c r="I3870">
        <v>1567</v>
      </c>
      <c r="J3870" t="s">
        <v>21</v>
      </c>
      <c r="K3870">
        <v>0</v>
      </c>
      <c r="L3870" t="s">
        <v>35</v>
      </c>
      <c r="M3870">
        <v>1066</v>
      </c>
    </row>
    <row r="3871" spans="1:13">
      <c r="A3871">
        <v>3865</v>
      </c>
      <c r="B3871">
        <v>84796</v>
      </c>
      <c r="C3871" t="s">
        <v>8309</v>
      </c>
      <c r="D3871" t="s">
        <v>76</v>
      </c>
      <c r="E3871" t="s">
        <v>8310</v>
      </c>
      <c r="F3871" t="str">
        <f>"00376963"</f>
        <v>00376963</v>
      </c>
      <c r="G3871" t="s">
        <v>892</v>
      </c>
      <c r="H3871" t="s">
        <v>20</v>
      </c>
      <c r="I3871">
        <v>1410</v>
      </c>
      <c r="J3871" t="s">
        <v>21</v>
      </c>
      <c r="K3871">
        <v>0</v>
      </c>
      <c r="L3871" t="s">
        <v>35</v>
      </c>
      <c r="M3871">
        <v>908</v>
      </c>
    </row>
    <row r="3872" spans="1:13">
      <c r="A3872">
        <v>3866</v>
      </c>
      <c r="B3872">
        <v>61603</v>
      </c>
      <c r="C3872" t="s">
        <v>8311</v>
      </c>
      <c r="D3872" t="s">
        <v>76</v>
      </c>
      <c r="E3872" t="s">
        <v>8312</v>
      </c>
      <c r="F3872" t="str">
        <f>"201511037788"</f>
        <v>201511037788</v>
      </c>
      <c r="G3872" t="s">
        <v>365</v>
      </c>
      <c r="H3872" t="s">
        <v>366</v>
      </c>
      <c r="I3872">
        <v>1692</v>
      </c>
      <c r="J3872" t="s">
        <v>21</v>
      </c>
      <c r="K3872">
        <v>0</v>
      </c>
      <c r="L3872" t="s">
        <v>35</v>
      </c>
      <c r="M3872">
        <v>1008</v>
      </c>
    </row>
    <row r="3873" spans="1:13">
      <c r="A3873">
        <v>3867</v>
      </c>
      <c r="B3873">
        <v>112256</v>
      </c>
      <c r="C3873" t="s">
        <v>8313</v>
      </c>
      <c r="D3873" t="s">
        <v>209</v>
      </c>
      <c r="E3873" t="s">
        <v>8314</v>
      </c>
      <c r="F3873" t="str">
        <f>"00388646"</f>
        <v>00388646</v>
      </c>
      <c r="G3873" t="s">
        <v>1498</v>
      </c>
      <c r="H3873" t="s">
        <v>1499</v>
      </c>
      <c r="I3873">
        <v>1598</v>
      </c>
      <c r="J3873" t="s">
        <v>21</v>
      </c>
      <c r="K3873">
        <v>6</v>
      </c>
      <c r="M3873">
        <v>1728</v>
      </c>
    </row>
    <row r="3874" spans="1:13">
      <c r="A3874">
        <v>3868</v>
      </c>
      <c r="B3874">
        <v>97897</v>
      </c>
      <c r="C3874" t="s">
        <v>8315</v>
      </c>
      <c r="D3874" t="s">
        <v>90</v>
      </c>
      <c r="E3874" t="s">
        <v>8316</v>
      </c>
      <c r="F3874" t="str">
        <f>"201510003273"</f>
        <v>201510003273</v>
      </c>
      <c r="G3874" t="s">
        <v>211</v>
      </c>
      <c r="H3874" t="s">
        <v>48</v>
      </c>
      <c r="I3874">
        <v>1628</v>
      </c>
      <c r="J3874" t="s">
        <v>21</v>
      </c>
      <c r="K3874">
        <v>0</v>
      </c>
      <c r="M3874">
        <v>1318</v>
      </c>
    </row>
    <row r="3875" spans="1:13">
      <c r="A3875">
        <v>3869</v>
      </c>
      <c r="B3875">
        <v>82544</v>
      </c>
      <c r="C3875" t="s">
        <v>8317</v>
      </c>
      <c r="D3875" t="s">
        <v>90</v>
      </c>
      <c r="E3875" t="s">
        <v>8318</v>
      </c>
      <c r="F3875" t="str">
        <f>"00378838"</f>
        <v>00378838</v>
      </c>
      <c r="G3875" t="s">
        <v>365</v>
      </c>
      <c r="H3875" t="s">
        <v>366</v>
      </c>
      <c r="I3875">
        <v>1692</v>
      </c>
      <c r="J3875" t="s">
        <v>21</v>
      </c>
      <c r="K3875">
        <v>0</v>
      </c>
      <c r="L3875" t="s">
        <v>35</v>
      </c>
      <c r="M3875">
        <v>908</v>
      </c>
    </row>
    <row r="3876" spans="1:13">
      <c r="A3876">
        <v>3870</v>
      </c>
      <c r="B3876">
        <v>89920</v>
      </c>
      <c r="C3876" t="s">
        <v>8319</v>
      </c>
      <c r="D3876" t="s">
        <v>90</v>
      </c>
      <c r="E3876" t="s">
        <v>8320</v>
      </c>
      <c r="F3876" t="str">
        <f>"00307748"</f>
        <v>00307748</v>
      </c>
      <c r="G3876" t="s">
        <v>1695</v>
      </c>
      <c r="H3876" t="s">
        <v>20</v>
      </c>
      <c r="I3876">
        <v>1533</v>
      </c>
      <c r="J3876" t="s">
        <v>21</v>
      </c>
      <c r="K3876">
        <v>0</v>
      </c>
      <c r="L3876" t="s">
        <v>35</v>
      </c>
      <c r="M3876">
        <v>1000</v>
      </c>
    </row>
    <row r="3877" spans="1:13">
      <c r="A3877">
        <v>3871</v>
      </c>
      <c r="B3877">
        <v>89455</v>
      </c>
      <c r="C3877" t="s">
        <v>8321</v>
      </c>
      <c r="D3877" t="s">
        <v>153</v>
      </c>
      <c r="E3877" t="s">
        <v>8322</v>
      </c>
      <c r="F3877" t="str">
        <f>"00396108"</f>
        <v>00396108</v>
      </c>
      <c r="G3877" t="s">
        <v>111</v>
      </c>
      <c r="H3877" t="s">
        <v>48</v>
      </c>
      <c r="I3877">
        <v>1620</v>
      </c>
      <c r="J3877" t="s">
        <v>21</v>
      </c>
      <c r="K3877">
        <v>0</v>
      </c>
      <c r="L3877" t="s">
        <v>88</v>
      </c>
      <c r="M3877">
        <v>600</v>
      </c>
    </row>
    <row r="3878" spans="1:13">
      <c r="A3878">
        <v>3872</v>
      </c>
      <c r="B3878">
        <v>61561</v>
      </c>
      <c r="C3878" t="s">
        <v>8323</v>
      </c>
      <c r="D3878" t="s">
        <v>1249</v>
      </c>
      <c r="E3878" t="s">
        <v>8324</v>
      </c>
      <c r="F3878" t="str">
        <f>"201511016249"</f>
        <v>201511016249</v>
      </c>
      <c r="G3878" t="s">
        <v>82</v>
      </c>
      <c r="H3878" t="s">
        <v>20</v>
      </c>
      <c r="I3878">
        <v>1475</v>
      </c>
      <c r="J3878" t="s">
        <v>21</v>
      </c>
      <c r="K3878">
        <v>0</v>
      </c>
      <c r="M3878">
        <v>1368</v>
      </c>
    </row>
    <row r="3879" spans="1:13">
      <c r="A3879">
        <v>3873</v>
      </c>
      <c r="B3879">
        <v>49697</v>
      </c>
      <c r="C3879" t="s">
        <v>8325</v>
      </c>
      <c r="D3879" t="s">
        <v>1249</v>
      </c>
      <c r="E3879" t="s">
        <v>8326</v>
      </c>
      <c r="F3879" t="str">
        <f>"00004004"</f>
        <v>00004004</v>
      </c>
      <c r="G3879" t="s">
        <v>1890</v>
      </c>
      <c r="H3879" t="s">
        <v>3499</v>
      </c>
      <c r="I3879">
        <v>1672</v>
      </c>
      <c r="J3879" t="s">
        <v>21</v>
      </c>
      <c r="K3879">
        <v>0</v>
      </c>
      <c r="L3879" t="s">
        <v>59</v>
      </c>
      <c r="M3879">
        <v>1168</v>
      </c>
    </row>
    <row r="3880" spans="1:13">
      <c r="A3880">
        <v>3874</v>
      </c>
      <c r="B3880">
        <v>69672</v>
      </c>
      <c r="C3880" t="s">
        <v>8327</v>
      </c>
      <c r="D3880" t="s">
        <v>209</v>
      </c>
      <c r="E3880" t="s">
        <v>8328</v>
      </c>
      <c r="F3880" t="str">
        <f>"00383435"</f>
        <v>00383435</v>
      </c>
      <c r="G3880" t="s">
        <v>446</v>
      </c>
      <c r="H3880" t="s">
        <v>137</v>
      </c>
      <c r="I3880">
        <v>1602</v>
      </c>
      <c r="J3880" t="s">
        <v>21</v>
      </c>
      <c r="K3880">
        <v>0</v>
      </c>
      <c r="L3880" t="s">
        <v>35</v>
      </c>
      <c r="M3880">
        <v>908</v>
      </c>
    </row>
    <row r="3881" spans="1:13">
      <c r="A3881">
        <v>3875</v>
      </c>
      <c r="B3881">
        <v>94275</v>
      </c>
      <c r="C3881" t="s">
        <v>8329</v>
      </c>
      <c r="D3881" t="s">
        <v>105</v>
      </c>
      <c r="E3881" t="s">
        <v>8330</v>
      </c>
      <c r="F3881" t="str">
        <f>"00388350"</f>
        <v>00388350</v>
      </c>
      <c r="G3881" t="s">
        <v>520</v>
      </c>
      <c r="H3881" t="s">
        <v>20</v>
      </c>
      <c r="I3881">
        <v>1540</v>
      </c>
      <c r="J3881" t="s">
        <v>21</v>
      </c>
      <c r="K3881">
        <v>0</v>
      </c>
      <c r="L3881" t="s">
        <v>35</v>
      </c>
      <c r="M3881">
        <v>950</v>
      </c>
    </row>
    <row r="3882" spans="1:13">
      <c r="A3882">
        <v>3876</v>
      </c>
      <c r="B3882">
        <v>79461</v>
      </c>
      <c r="C3882" t="s">
        <v>8331</v>
      </c>
      <c r="D3882" t="s">
        <v>209</v>
      </c>
      <c r="E3882" t="s">
        <v>8332</v>
      </c>
      <c r="F3882" t="str">
        <f>"00375160"</f>
        <v>00375160</v>
      </c>
      <c r="G3882" t="s">
        <v>107</v>
      </c>
      <c r="H3882" t="s">
        <v>20</v>
      </c>
      <c r="I3882">
        <v>1472</v>
      </c>
      <c r="J3882" t="s">
        <v>21</v>
      </c>
      <c r="K3882">
        <v>0</v>
      </c>
      <c r="L3882" t="s">
        <v>88</v>
      </c>
      <c r="M3882">
        <v>572</v>
      </c>
    </row>
    <row r="3883" spans="1:13">
      <c r="A3883">
        <v>3877</v>
      </c>
      <c r="B3883">
        <v>89820</v>
      </c>
      <c r="C3883" t="s">
        <v>8333</v>
      </c>
      <c r="D3883" t="s">
        <v>98</v>
      </c>
      <c r="E3883" t="s">
        <v>8334</v>
      </c>
      <c r="F3883" t="str">
        <f>"00303349"</f>
        <v>00303349</v>
      </c>
      <c r="G3883" t="s">
        <v>47</v>
      </c>
      <c r="H3883" t="s">
        <v>48</v>
      </c>
      <c r="I3883">
        <v>1623</v>
      </c>
      <c r="J3883" t="s">
        <v>21</v>
      </c>
      <c r="K3883">
        <v>0</v>
      </c>
      <c r="M3883">
        <v>1528</v>
      </c>
    </row>
    <row r="3884" spans="1:13">
      <c r="A3884">
        <v>3878</v>
      </c>
      <c r="B3884">
        <v>49900</v>
      </c>
      <c r="C3884" t="s">
        <v>8335</v>
      </c>
      <c r="D3884" t="s">
        <v>153</v>
      </c>
      <c r="E3884" t="s">
        <v>8336</v>
      </c>
      <c r="F3884" t="str">
        <f>"00314481"</f>
        <v>00314481</v>
      </c>
      <c r="G3884" t="s">
        <v>371</v>
      </c>
      <c r="H3884" t="s">
        <v>5917</v>
      </c>
      <c r="I3884">
        <v>1317</v>
      </c>
      <c r="J3884" t="s">
        <v>21</v>
      </c>
      <c r="K3884">
        <v>6</v>
      </c>
      <c r="M3884">
        <v>1378</v>
      </c>
    </row>
    <row r="3885" spans="1:13">
      <c r="A3885">
        <v>3879</v>
      </c>
      <c r="B3885">
        <v>91013</v>
      </c>
      <c r="C3885" t="s">
        <v>8337</v>
      </c>
      <c r="D3885" t="s">
        <v>153</v>
      </c>
      <c r="E3885" t="s">
        <v>8338</v>
      </c>
      <c r="F3885" t="str">
        <f>"00266871"</f>
        <v>00266871</v>
      </c>
      <c r="G3885" t="s">
        <v>371</v>
      </c>
      <c r="H3885" t="s">
        <v>20</v>
      </c>
      <c r="I3885">
        <v>1526</v>
      </c>
      <c r="J3885" t="s">
        <v>21</v>
      </c>
      <c r="K3885">
        <v>6</v>
      </c>
      <c r="M3885">
        <v>1128</v>
      </c>
    </row>
    <row r="3886" spans="1:13">
      <c r="A3886">
        <v>3880</v>
      </c>
      <c r="B3886">
        <v>96944</v>
      </c>
      <c r="C3886" t="s">
        <v>8339</v>
      </c>
      <c r="D3886" t="s">
        <v>76</v>
      </c>
      <c r="E3886" t="s">
        <v>8340</v>
      </c>
      <c r="F3886" t="str">
        <f>"00266995"</f>
        <v>00266995</v>
      </c>
      <c r="G3886" t="s">
        <v>446</v>
      </c>
      <c r="H3886" t="s">
        <v>137</v>
      </c>
      <c r="I3886">
        <v>1602</v>
      </c>
      <c r="J3886" t="s">
        <v>21</v>
      </c>
      <c r="K3886">
        <v>0</v>
      </c>
      <c r="L3886" t="s">
        <v>35</v>
      </c>
      <c r="M3886">
        <v>1058</v>
      </c>
    </row>
    <row r="3887" spans="1:13">
      <c r="A3887">
        <v>3881</v>
      </c>
      <c r="B3887">
        <v>86950</v>
      </c>
      <c r="C3887" t="s">
        <v>8341</v>
      </c>
      <c r="D3887" t="s">
        <v>105</v>
      </c>
      <c r="E3887" t="s">
        <v>8342</v>
      </c>
      <c r="F3887" t="str">
        <f>"201511027101"</f>
        <v>201511027101</v>
      </c>
      <c r="G3887" t="s">
        <v>4375</v>
      </c>
      <c r="H3887" t="s">
        <v>274</v>
      </c>
      <c r="I3887">
        <v>1396</v>
      </c>
      <c r="J3887" t="s">
        <v>21</v>
      </c>
      <c r="K3887">
        <v>0</v>
      </c>
      <c r="L3887" t="s">
        <v>35</v>
      </c>
      <c r="M3887">
        <v>1000</v>
      </c>
    </row>
    <row r="3888" spans="1:13">
      <c r="A3888">
        <v>3882</v>
      </c>
      <c r="B3888">
        <v>82256</v>
      </c>
      <c r="C3888" t="s">
        <v>8343</v>
      </c>
      <c r="D3888" t="s">
        <v>180</v>
      </c>
      <c r="E3888" t="s">
        <v>8344</v>
      </c>
      <c r="F3888" t="str">
        <f>"00407032"</f>
        <v>00407032</v>
      </c>
      <c r="G3888" t="s">
        <v>798</v>
      </c>
      <c r="H3888" t="s">
        <v>326</v>
      </c>
      <c r="I3888">
        <v>1593</v>
      </c>
      <c r="J3888" t="s">
        <v>21</v>
      </c>
      <c r="K3888">
        <v>0</v>
      </c>
      <c r="M3888">
        <v>1442</v>
      </c>
    </row>
    <row r="3889" spans="1:13">
      <c r="A3889">
        <v>3883</v>
      </c>
      <c r="B3889">
        <v>96428</v>
      </c>
      <c r="C3889" t="s">
        <v>8345</v>
      </c>
      <c r="D3889" t="s">
        <v>80</v>
      </c>
      <c r="E3889" t="s">
        <v>8346</v>
      </c>
      <c r="F3889" t="str">
        <f>"00399150"</f>
        <v>00399150</v>
      </c>
      <c r="G3889" t="s">
        <v>1345</v>
      </c>
      <c r="H3889" t="s">
        <v>137</v>
      </c>
      <c r="I3889">
        <v>1606</v>
      </c>
      <c r="J3889" t="s">
        <v>21</v>
      </c>
      <c r="K3889">
        <v>0</v>
      </c>
      <c r="M3889">
        <v>1578</v>
      </c>
    </row>
    <row r="3890" spans="1:13">
      <c r="A3890">
        <v>3884</v>
      </c>
      <c r="B3890">
        <v>69846</v>
      </c>
      <c r="C3890" t="s">
        <v>8347</v>
      </c>
      <c r="D3890" t="s">
        <v>76</v>
      </c>
      <c r="E3890" t="s">
        <v>8348</v>
      </c>
      <c r="F3890" t="str">
        <f>"00327643"</f>
        <v>00327643</v>
      </c>
      <c r="G3890" t="s">
        <v>29</v>
      </c>
      <c r="H3890" t="s">
        <v>20</v>
      </c>
      <c r="I3890">
        <v>1446</v>
      </c>
      <c r="J3890" t="s">
        <v>21</v>
      </c>
      <c r="K3890">
        <v>0</v>
      </c>
      <c r="L3890" t="s">
        <v>35</v>
      </c>
      <c r="M3890">
        <v>1060</v>
      </c>
    </row>
    <row r="3891" spans="1:13">
      <c r="A3891">
        <v>3885</v>
      </c>
      <c r="B3891">
        <v>81135</v>
      </c>
      <c r="C3891" t="s">
        <v>8349</v>
      </c>
      <c r="D3891" t="s">
        <v>914</v>
      </c>
      <c r="E3891" t="s">
        <v>8350</v>
      </c>
      <c r="F3891" t="str">
        <f>"00407597"</f>
        <v>00407597</v>
      </c>
      <c r="G3891" t="s">
        <v>107</v>
      </c>
      <c r="H3891" t="s">
        <v>20</v>
      </c>
      <c r="I3891">
        <v>1472</v>
      </c>
      <c r="J3891" t="s">
        <v>21</v>
      </c>
      <c r="K3891">
        <v>0</v>
      </c>
      <c r="L3891" t="s">
        <v>35</v>
      </c>
      <c r="M3891">
        <v>936</v>
      </c>
    </row>
    <row r="3892" spans="1:13">
      <c r="A3892">
        <v>3886</v>
      </c>
      <c r="B3892">
        <v>81763</v>
      </c>
      <c r="C3892" t="s">
        <v>8351</v>
      </c>
      <c r="D3892" t="s">
        <v>130</v>
      </c>
      <c r="E3892" t="s">
        <v>8352</v>
      </c>
      <c r="F3892" t="str">
        <f>"00384822"</f>
        <v>00384822</v>
      </c>
      <c r="G3892" t="s">
        <v>107</v>
      </c>
      <c r="H3892" t="s">
        <v>20</v>
      </c>
      <c r="I3892">
        <v>1472</v>
      </c>
      <c r="J3892" t="s">
        <v>21</v>
      </c>
      <c r="K3892">
        <v>0</v>
      </c>
      <c r="L3892" t="s">
        <v>35</v>
      </c>
      <c r="M3892">
        <v>908</v>
      </c>
    </row>
    <row r="3893" spans="1:13">
      <c r="A3893">
        <v>3887</v>
      </c>
      <c r="B3893">
        <v>66386</v>
      </c>
      <c r="C3893" t="s">
        <v>8353</v>
      </c>
      <c r="D3893" t="s">
        <v>2158</v>
      </c>
      <c r="E3893" t="s">
        <v>8354</v>
      </c>
      <c r="F3893" t="str">
        <f>"00402795"</f>
        <v>00402795</v>
      </c>
      <c r="G3893" t="s">
        <v>107</v>
      </c>
      <c r="H3893" t="s">
        <v>20</v>
      </c>
      <c r="I3893">
        <v>1472</v>
      </c>
      <c r="J3893" t="s">
        <v>21</v>
      </c>
      <c r="K3893">
        <v>0</v>
      </c>
      <c r="M3893">
        <v>1428</v>
      </c>
    </row>
    <row r="3894" spans="1:13">
      <c r="A3894">
        <v>3888</v>
      </c>
      <c r="B3894">
        <v>105840</v>
      </c>
      <c r="C3894" t="s">
        <v>8355</v>
      </c>
      <c r="D3894" t="s">
        <v>2158</v>
      </c>
      <c r="E3894" t="s">
        <v>8356</v>
      </c>
      <c r="F3894" t="str">
        <f>"00396044"</f>
        <v>00396044</v>
      </c>
      <c r="G3894" t="s">
        <v>107</v>
      </c>
      <c r="H3894" t="s">
        <v>20</v>
      </c>
      <c r="I3894">
        <v>1472</v>
      </c>
      <c r="J3894" t="s">
        <v>21</v>
      </c>
      <c r="K3894">
        <v>0</v>
      </c>
      <c r="M3894">
        <v>1728</v>
      </c>
    </row>
    <row r="3895" spans="1:13">
      <c r="A3895">
        <v>3889</v>
      </c>
      <c r="B3895">
        <v>75739</v>
      </c>
      <c r="C3895" t="s">
        <v>8355</v>
      </c>
      <c r="D3895" t="s">
        <v>76</v>
      </c>
      <c r="E3895" t="s">
        <v>8357</v>
      </c>
      <c r="F3895" t="str">
        <f>"00368702"</f>
        <v>00368702</v>
      </c>
      <c r="G3895" t="s">
        <v>78</v>
      </c>
      <c r="H3895" t="s">
        <v>20</v>
      </c>
      <c r="I3895">
        <v>1460</v>
      </c>
      <c r="J3895" t="s">
        <v>21</v>
      </c>
      <c r="K3895">
        <v>0</v>
      </c>
      <c r="L3895" t="s">
        <v>35</v>
      </c>
      <c r="M3895">
        <v>1102</v>
      </c>
    </row>
    <row r="3896" spans="1:13">
      <c r="A3896">
        <v>3890</v>
      </c>
      <c r="B3896">
        <v>80158</v>
      </c>
      <c r="C3896" t="s">
        <v>8355</v>
      </c>
      <c r="D3896" t="s">
        <v>130</v>
      </c>
      <c r="E3896" t="s">
        <v>8358</v>
      </c>
      <c r="F3896" t="str">
        <f>"00301218"</f>
        <v>00301218</v>
      </c>
      <c r="G3896" t="s">
        <v>78</v>
      </c>
      <c r="H3896" t="s">
        <v>20</v>
      </c>
      <c r="I3896">
        <v>1460</v>
      </c>
      <c r="J3896" t="s">
        <v>21</v>
      </c>
      <c r="K3896">
        <v>0</v>
      </c>
      <c r="M3896">
        <v>1514</v>
      </c>
    </row>
    <row r="3897" spans="1:13">
      <c r="A3897">
        <v>3891</v>
      </c>
      <c r="B3897">
        <v>90181</v>
      </c>
      <c r="C3897" t="s">
        <v>8359</v>
      </c>
      <c r="D3897" t="s">
        <v>145</v>
      </c>
      <c r="E3897" t="s">
        <v>8360</v>
      </c>
      <c r="F3897" t="str">
        <f>"201511017740"</f>
        <v>201511017740</v>
      </c>
      <c r="G3897" t="s">
        <v>1682</v>
      </c>
      <c r="H3897" t="s">
        <v>241</v>
      </c>
      <c r="I3897">
        <v>1363</v>
      </c>
      <c r="J3897" t="s">
        <v>21</v>
      </c>
      <c r="K3897">
        <v>0</v>
      </c>
      <c r="M3897">
        <v>1528</v>
      </c>
    </row>
    <row r="3898" spans="1:13">
      <c r="A3898">
        <v>3892</v>
      </c>
      <c r="B3898">
        <v>98981</v>
      </c>
      <c r="C3898" t="s">
        <v>8361</v>
      </c>
      <c r="D3898" t="s">
        <v>198</v>
      </c>
      <c r="E3898" t="s">
        <v>8362</v>
      </c>
      <c r="F3898" t="str">
        <f>"00380525"</f>
        <v>00380525</v>
      </c>
      <c r="G3898" t="s">
        <v>8363</v>
      </c>
      <c r="H3898" t="s">
        <v>20</v>
      </c>
      <c r="I3898">
        <v>1478</v>
      </c>
      <c r="J3898" t="s">
        <v>21</v>
      </c>
      <c r="K3898">
        <v>6</v>
      </c>
      <c r="L3898" t="s">
        <v>35</v>
      </c>
      <c r="M3898">
        <v>808</v>
      </c>
    </row>
    <row r="3899" spans="1:13">
      <c r="A3899">
        <v>3893</v>
      </c>
      <c r="B3899">
        <v>72619</v>
      </c>
      <c r="C3899" t="s">
        <v>8364</v>
      </c>
      <c r="D3899" t="s">
        <v>243</v>
      </c>
      <c r="E3899" t="s">
        <v>8365</v>
      </c>
      <c r="F3899" t="str">
        <f>"00394341"</f>
        <v>00394341</v>
      </c>
      <c r="G3899" t="s">
        <v>284</v>
      </c>
      <c r="H3899" t="s">
        <v>270</v>
      </c>
      <c r="I3899">
        <v>1586</v>
      </c>
      <c r="J3899" t="s">
        <v>21</v>
      </c>
      <c r="K3899">
        <v>0</v>
      </c>
      <c r="M3899">
        <v>1428</v>
      </c>
    </row>
    <row r="3900" spans="1:13">
      <c r="A3900">
        <v>3894</v>
      </c>
      <c r="B3900">
        <v>57905</v>
      </c>
      <c r="C3900" t="s">
        <v>8366</v>
      </c>
      <c r="D3900" t="s">
        <v>238</v>
      </c>
      <c r="E3900" t="s">
        <v>8367</v>
      </c>
      <c r="F3900" t="str">
        <f>"00102795"</f>
        <v>00102795</v>
      </c>
      <c r="G3900" t="s">
        <v>70</v>
      </c>
      <c r="H3900" t="s">
        <v>71</v>
      </c>
      <c r="I3900">
        <v>1702</v>
      </c>
      <c r="J3900" t="s">
        <v>21</v>
      </c>
      <c r="K3900">
        <v>0</v>
      </c>
      <c r="L3900" t="s">
        <v>35</v>
      </c>
      <c r="M3900">
        <v>908</v>
      </c>
    </row>
    <row r="3901" spans="1:13">
      <c r="A3901">
        <v>3895</v>
      </c>
      <c r="B3901">
        <v>79807</v>
      </c>
      <c r="C3901" t="s">
        <v>8368</v>
      </c>
      <c r="D3901" t="s">
        <v>76</v>
      </c>
      <c r="E3901" t="s">
        <v>8369</v>
      </c>
      <c r="F3901" t="str">
        <f>"00395423"</f>
        <v>00395423</v>
      </c>
      <c r="G3901" t="s">
        <v>2440</v>
      </c>
      <c r="H3901" t="s">
        <v>20</v>
      </c>
      <c r="I3901">
        <v>1567</v>
      </c>
      <c r="J3901" t="s">
        <v>21</v>
      </c>
      <c r="K3901">
        <v>0</v>
      </c>
      <c r="M3901">
        <v>2102</v>
      </c>
    </row>
    <row r="3902" spans="1:13">
      <c r="A3902">
        <v>3896</v>
      </c>
      <c r="B3902">
        <v>88194</v>
      </c>
      <c r="C3902" t="s">
        <v>8370</v>
      </c>
      <c r="D3902" t="s">
        <v>566</v>
      </c>
      <c r="E3902" t="s">
        <v>8371</v>
      </c>
      <c r="F3902" t="str">
        <f>"00386763"</f>
        <v>00386763</v>
      </c>
      <c r="G3902" t="s">
        <v>721</v>
      </c>
      <c r="H3902" t="s">
        <v>20</v>
      </c>
      <c r="I3902">
        <v>1575</v>
      </c>
      <c r="J3902" t="s">
        <v>21</v>
      </c>
      <c r="K3902">
        <v>0</v>
      </c>
      <c r="M3902">
        <v>1318</v>
      </c>
    </row>
    <row r="3903" spans="1:13">
      <c r="A3903">
        <v>3897</v>
      </c>
      <c r="B3903">
        <v>104963</v>
      </c>
      <c r="C3903" t="s">
        <v>8372</v>
      </c>
      <c r="D3903" t="s">
        <v>334</v>
      </c>
      <c r="E3903" t="s">
        <v>8373</v>
      </c>
      <c r="F3903" t="str">
        <f>"201511014508"</f>
        <v>201511014508</v>
      </c>
      <c r="G3903" t="s">
        <v>170</v>
      </c>
      <c r="H3903" t="s">
        <v>20</v>
      </c>
      <c r="I3903">
        <v>1412</v>
      </c>
      <c r="J3903" t="s">
        <v>21</v>
      </c>
      <c r="K3903">
        <v>0</v>
      </c>
      <c r="M3903">
        <v>1728</v>
      </c>
    </row>
    <row r="3904" spans="1:13">
      <c r="A3904">
        <v>3898</v>
      </c>
      <c r="B3904">
        <v>103645</v>
      </c>
      <c r="C3904" t="s">
        <v>8374</v>
      </c>
      <c r="D3904" t="s">
        <v>65</v>
      </c>
      <c r="E3904" t="s">
        <v>8375</v>
      </c>
      <c r="F3904" t="str">
        <f>"201511008718"</f>
        <v>201511008718</v>
      </c>
      <c r="G3904" t="s">
        <v>1695</v>
      </c>
      <c r="H3904" t="s">
        <v>20</v>
      </c>
      <c r="I3904">
        <v>1533</v>
      </c>
      <c r="J3904" t="s">
        <v>21</v>
      </c>
      <c r="K3904">
        <v>0</v>
      </c>
      <c r="L3904" t="s">
        <v>35</v>
      </c>
      <c r="M3904">
        <v>875</v>
      </c>
    </row>
    <row r="3905" spans="1:13">
      <c r="A3905">
        <v>3899</v>
      </c>
      <c r="B3905">
        <v>109903</v>
      </c>
      <c r="C3905" t="s">
        <v>8376</v>
      </c>
      <c r="D3905" t="s">
        <v>209</v>
      </c>
      <c r="E3905" t="s">
        <v>8377</v>
      </c>
      <c r="F3905" t="str">
        <f>"00323965"</f>
        <v>00323965</v>
      </c>
      <c r="G3905" t="s">
        <v>341</v>
      </c>
      <c r="H3905" t="s">
        <v>20</v>
      </c>
      <c r="I3905">
        <v>1553</v>
      </c>
      <c r="J3905" t="s">
        <v>21</v>
      </c>
      <c r="K3905">
        <v>6</v>
      </c>
      <c r="L3905" t="s">
        <v>35</v>
      </c>
      <c r="M3905">
        <v>808</v>
      </c>
    </row>
    <row r="3906" spans="1:13">
      <c r="A3906">
        <v>3900</v>
      </c>
      <c r="B3906">
        <v>98773</v>
      </c>
      <c r="C3906" t="s">
        <v>8378</v>
      </c>
      <c r="D3906" t="s">
        <v>209</v>
      </c>
      <c r="E3906" t="s">
        <v>8379</v>
      </c>
      <c r="F3906" t="str">
        <f>"00358265"</f>
        <v>00358265</v>
      </c>
      <c r="G3906" t="s">
        <v>19</v>
      </c>
      <c r="H3906" t="s">
        <v>20</v>
      </c>
      <c r="I3906">
        <v>1531</v>
      </c>
      <c r="J3906" t="s">
        <v>21</v>
      </c>
      <c r="K3906">
        <v>0</v>
      </c>
      <c r="L3906" t="s">
        <v>83</v>
      </c>
      <c r="M3906">
        <v>1228</v>
      </c>
    </row>
    <row r="3907" spans="1:13">
      <c r="A3907">
        <v>3901</v>
      </c>
      <c r="B3907">
        <v>94410</v>
      </c>
      <c r="C3907" t="s">
        <v>8380</v>
      </c>
      <c r="D3907" t="s">
        <v>180</v>
      </c>
      <c r="E3907" t="s">
        <v>8381</v>
      </c>
      <c r="F3907" t="str">
        <f>"00372769"</f>
        <v>00372769</v>
      </c>
      <c r="G3907" t="s">
        <v>302</v>
      </c>
      <c r="H3907" t="s">
        <v>20</v>
      </c>
      <c r="I3907">
        <v>1494</v>
      </c>
      <c r="J3907" t="s">
        <v>21</v>
      </c>
      <c r="K3907">
        <v>0</v>
      </c>
      <c r="L3907" t="s">
        <v>35</v>
      </c>
      <c r="M3907">
        <v>1250</v>
      </c>
    </row>
    <row r="3908" spans="1:13">
      <c r="A3908">
        <v>3902</v>
      </c>
      <c r="B3908">
        <v>112925</v>
      </c>
      <c r="C3908" t="s">
        <v>8382</v>
      </c>
      <c r="D3908" t="s">
        <v>180</v>
      </c>
      <c r="E3908" t="s">
        <v>8383</v>
      </c>
      <c r="F3908" t="str">
        <f>"00419649"</f>
        <v>00419649</v>
      </c>
      <c r="G3908" t="s">
        <v>1602</v>
      </c>
      <c r="H3908" t="s">
        <v>20</v>
      </c>
      <c r="I3908">
        <v>1427</v>
      </c>
      <c r="J3908" t="s">
        <v>21</v>
      </c>
      <c r="K3908">
        <v>7</v>
      </c>
      <c r="M3908">
        <v>1228</v>
      </c>
    </row>
    <row r="3909" spans="1:13">
      <c r="A3909">
        <v>3903</v>
      </c>
      <c r="B3909">
        <v>49591</v>
      </c>
      <c r="C3909" t="s">
        <v>8384</v>
      </c>
      <c r="D3909" t="s">
        <v>76</v>
      </c>
      <c r="E3909" t="s">
        <v>8385</v>
      </c>
      <c r="F3909" t="str">
        <f>"00359305"</f>
        <v>00359305</v>
      </c>
      <c r="G3909" t="s">
        <v>211</v>
      </c>
      <c r="H3909" t="s">
        <v>48</v>
      </c>
      <c r="I3909">
        <v>1628</v>
      </c>
      <c r="J3909" t="s">
        <v>21</v>
      </c>
      <c r="K3909">
        <v>0</v>
      </c>
      <c r="M3909">
        <v>1328</v>
      </c>
    </row>
    <row r="3910" spans="1:13">
      <c r="A3910">
        <v>3904</v>
      </c>
      <c r="B3910">
        <v>109328</v>
      </c>
      <c r="C3910" t="s">
        <v>8386</v>
      </c>
      <c r="D3910" t="s">
        <v>105</v>
      </c>
      <c r="E3910" t="s">
        <v>8387</v>
      </c>
      <c r="F3910" t="str">
        <f>"00050785"</f>
        <v>00050785</v>
      </c>
      <c r="G3910" t="s">
        <v>67</v>
      </c>
      <c r="H3910" t="s">
        <v>20</v>
      </c>
      <c r="I3910">
        <v>1434</v>
      </c>
      <c r="J3910" t="s">
        <v>21</v>
      </c>
      <c r="K3910">
        <v>0</v>
      </c>
      <c r="M3910">
        <v>1405</v>
      </c>
    </row>
    <row r="3911" spans="1:13">
      <c r="A3911">
        <v>3905</v>
      </c>
      <c r="B3911">
        <v>87070</v>
      </c>
      <c r="C3911" t="s">
        <v>8388</v>
      </c>
      <c r="D3911" t="s">
        <v>76</v>
      </c>
      <c r="E3911" t="s">
        <v>8389</v>
      </c>
      <c r="F3911" t="str">
        <f>"00276285"</f>
        <v>00276285</v>
      </c>
      <c r="G3911" t="s">
        <v>713</v>
      </c>
      <c r="H3911" t="s">
        <v>366</v>
      </c>
      <c r="I3911">
        <v>1690</v>
      </c>
      <c r="J3911" t="s">
        <v>21</v>
      </c>
      <c r="K3911">
        <v>0</v>
      </c>
      <c r="M3911">
        <v>1728</v>
      </c>
    </row>
    <row r="3912" spans="1:13">
      <c r="A3912">
        <v>3906</v>
      </c>
      <c r="B3912">
        <v>59977</v>
      </c>
      <c r="C3912" t="s">
        <v>8390</v>
      </c>
      <c r="D3912" t="s">
        <v>598</v>
      </c>
      <c r="E3912" t="s">
        <v>8391</v>
      </c>
      <c r="F3912" t="str">
        <f>"00048086"</f>
        <v>00048086</v>
      </c>
      <c r="G3912" t="s">
        <v>3368</v>
      </c>
      <c r="H3912" t="s">
        <v>20</v>
      </c>
      <c r="I3912">
        <v>1452</v>
      </c>
      <c r="J3912" t="s">
        <v>21</v>
      </c>
      <c r="K3912">
        <v>0</v>
      </c>
      <c r="L3912" t="s">
        <v>59</v>
      </c>
      <c r="M3912">
        <v>1038</v>
      </c>
    </row>
    <row r="3913" spans="1:13">
      <c r="A3913">
        <v>3907</v>
      </c>
      <c r="B3913">
        <v>56810</v>
      </c>
      <c r="C3913" t="s">
        <v>8392</v>
      </c>
      <c r="D3913" t="s">
        <v>102</v>
      </c>
      <c r="E3913" t="s">
        <v>8393</v>
      </c>
      <c r="F3913" t="str">
        <f>"00362910"</f>
        <v>00362910</v>
      </c>
      <c r="G3913" t="s">
        <v>38</v>
      </c>
      <c r="H3913" t="s">
        <v>39</v>
      </c>
      <c r="I3913">
        <v>1634</v>
      </c>
      <c r="J3913" t="s">
        <v>21</v>
      </c>
      <c r="K3913">
        <v>6</v>
      </c>
      <c r="L3913" t="s">
        <v>35</v>
      </c>
      <c r="M3913">
        <v>606</v>
      </c>
    </row>
    <row r="3914" spans="1:13">
      <c r="A3914">
        <v>3908</v>
      </c>
      <c r="B3914">
        <v>49406</v>
      </c>
      <c r="C3914" t="s">
        <v>8394</v>
      </c>
      <c r="D3914" t="s">
        <v>94</v>
      </c>
      <c r="E3914" t="s">
        <v>8395</v>
      </c>
      <c r="F3914" t="str">
        <f>"00250323"</f>
        <v>00250323</v>
      </c>
      <c r="G3914" t="s">
        <v>1682</v>
      </c>
      <c r="H3914" t="s">
        <v>241</v>
      </c>
      <c r="I3914">
        <v>1363</v>
      </c>
      <c r="J3914" t="s">
        <v>21</v>
      </c>
      <c r="K3914">
        <v>0</v>
      </c>
      <c r="M3914">
        <v>1528</v>
      </c>
    </row>
    <row r="3915" spans="1:13">
      <c r="A3915">
        <v>3909</v>
      </c>
      <c r="B3915">
        <v>70024</v>
      </c>
      <c r="C3915" t="s">
        <v>8396</v>
      </c>
      <c r="D3915" t="s">
        <v>80</v>
      </c>
      <c r="E3915" t="s">
        <v>8397</v>
      </c>
      <c r="F3915" t="str">
        <f>"00379666"</f>
        <v>00379666</v>
      </c>
      <c r="G3915" t="s">
        <v>47</v>
      </c>
      <c r="H3915" t="s">
        <v>48</v>
      </c>
      <c r="I3915">
        <v>1623</v>
      </c>
      <c r="J3915" t="s">
        <v>21</v>
      </c>
      <c r="K3915">
        <v>0</v>
      </c>
      <c r="M3915">
        <v>1388</v>
      </c>
    </row>
    <row r="3916" spans="1:13">
      <c r="A3916">
        <v>3910</v>
      </c>
      <c r="B3916">
        <v>112549</v>
      </c>
      <c r="C3916" t="s">
        <v>8398</v>
      </c>
      <c r="D3916" t="s">
        <v>76</v>
      </c>
      <c r="E3916" t="s">
        <v>8399</v>
      </c>
      <c r="F3916" t="str">
        <f>"00256756"</f>
        <v>00256756</v>
      </c>
      <c r="G3916" t="s">
        <v>8400</v>
      </c>
      <c r="H3916" t="s">
        <v>137</v>
      </c>
      <c r="I3916">
        <v>1604</v>
      </c>
      <c r="J3916" t="s">
        <v>21</v>
      </c>
      <c r="K3916">
        <v>0</v>
      </c>
      <c r="M3916">
        <v>1338</v>
      </c>
    </row>
    <row r="3917" spans="1:13">
      <c r="A3917">
        <v>3911</v>
      </c>
      <c r="B3917">
        <v>105835</v>
      </c>
      <c r="C3917" t="s">
        <v>8401</v>
      </c>
      <c r="D3917" t="s">
        <v>566</v>
      </c>
      <c r="E3917" t="s">
        <v>8402</v>
      </c>
      <c r="F3917" t="str">
        <f>"201511032057"</f>
        <v>201511032057</v>
      </c>
      <c r="G3917" t="s">
        <v>437</v>
      </c>
      <c r="H3917" t="s">
        <v>20</v>
      </c>
      <c r="I3917">
        <v>1407</v>
      </c>
      <c r="J3917" t="s">
        <v>21</v>
      </c>
      <c r="K3917">
        <v>0</v>
      </c>
      <c r="L3917" t="s">
        <v>59</v>
      </c>
      <c r="M3917">
        <v>1128</v>
      </c>
    </row>
    <row r="3918" spans="1:13">
      <c r="A3918">
        <v>3912</v>
      </c>
      <c r="B3918">
        <v>88964</v>
      </c>
      <c r="C3918" t="s">
        <v>8403</v>
      </c>
      <c r="D3918" t="s">
        <v>139</v>
      </c>
      <c r="E3918" t="s">
        <v>8404</v>
      </c>
      <c r="F3918" t="str">
        <f>"201511007559"</f>
        <v>201511007559</v>
      </c>
      <c r="G3918" t="s">
        <v>155</v>
      </c>
      <c r="H3918" t="s">
        <v>156</v>
      </c>
      <c r="I3918">
        <v>1342</v>
      </c>
      <c r="J3918" t="s">
        <v>21</v>
      </c>
      <c r="K3918">
        <v>0</v>
      </c>
      <c r="L3918" t="s">
        <v>88</v>
      </c>
      <c r="M3918">
        <v>775</v>
      </c>
    </row>
    <row r="3919" spans="1:13">
      <c r="A3919">
        <v>3913</v>
      </c>
      <c r="B3919">
        <v>58708</v>
      </c>
      <c r="C3919" t="s">
        <v>8405</v>
      </c>
      <c r="D3919" t="s">
        <v>102</v>
      </c>
      <c r="E3919" t="s">
        <v>8406</v>
      </c>
      <c r="F3919" t="str">
        <f>"00234126"</f>
        <v>00234126</v>
      </c>
      <c r="G3919" t="s">
        <v>47</v>
      </c>
      <c r="H3919" t="s">
        <v>48</v>
      </c>
      <c r="I3919">
        <v>1623</v>
      </c>
      <c r="J3919" t="s">
        <v>21</v>
      </c>
      <c r="K3919">
        <v>0</v>
      </c>
      <c r="L3919" t="s">
        <v>35</v>
      </c>
      <c r="M3919">
        <v>900</v>
      </c>
    </row>
    <row r="3920" spans="1:13">
      <c r="A3920">
        <v>3914</v>
      </c>
      <c r="B3920">
        <v>68244</v>
      </c>
      <c r="C3920" t="s">
        <v>8407</v>
      </c>
      <c r="D3920" t="s">
        <v>180</v>
      </c>
      <c r="E3920" t="s">
        <v>8408</v>
      </c>
      <c r="F3920" t="str">
        <f>"00127803"</f>
        <v>00127803</v>
      </c>
      <c r="G3920" t="s">
        <v>147</v>
      </c>
      <c r="H3920" t="s">
        <v>20</v>
      </c>
      <c r="I3920">
        <v>1529</v>
      </c>
      <c r="J3920" t="s">
        <v>21</v>
      </c>
      <c r="K3920">
        <v>0</v>
      </c>
      <c r="L3920" t="s">
        <v>88</v>
      </c>
      <c r="M3920">
        <v>675</v>
      </c>
    </row>
    <row r="3921" spans="1:13">
      <c r="A3921">
        <v>3915</v>
      </c>
      <c r="B3921">
        <v>51897</v>
      </c>
      <c r="C3921" t="s">
        <v>8409</v>
      </c>
      <c r="D3921" t="s">
        <v>76</v>
      </c>
      <c r="E3921" t="s">
        <v>8410</v>
      </c>
      <c r="F3921" t="str">
        <f>"00030350"</f>
        <v>00030350</v>
      </c>
      <c r="G3921" t="s">
        <v>47</v>
      </c>
      <c r="H3921" t="s">
        <v>48</v>
      </c>
      <c r="I3921">
        <v>1623</v>
      </c>
      <c r="J3921" t="s">
        <v>21</v>
      </c>
      <c r="K3921">
        <v>0</v>
      </c>
      <c r="M3921">
        <v>1328</v>
      </c>
    </row>
    <row r="3922" spans="1:13">
      <c r="A3922">
        <v>3916</v>
      </c>
      <c r="B3922">
        <v>95198</v>
      </c>
      <c r="C3922" t="s">
        <v>8411</v>
      </c>
      <c r="D3922" t="s">
        <v>90</v>
      </c>
      <c r="E3922" t="s">
        <v>8412</v>
      </c>
      <c r="F3922" t="str">
        <f>"00250233"</f>
        <v>00250233</v>
      </c>
      <c r="G3922" t="s">
        <v>2855</v>
      </c>
      <c r="H3922" t="s">
        <v>20</v>
      </c>
      <c r="I3922">
        <v>1561</v>
      </c>
      <c r="J3922" t="s">
        <v>21</v>
      </c>
      <c r="K3922">
        <v>6</v>
      </c>
      <c r="M3922">
        <v>1028</v>
      </c>
    </row>
    <row r="3923" spans="1:13">
      <c r="A3923">
        <v>3917</v>
      </c>
      <c r="B3923">
        <v>109565</v>
      </c>
      <c r="C3923" t="s">
        <v>8413</v>
      </c>
      <c r="D3923" t="s">
        <v>80</v>
      </c>
      <c r="E3923" t="s">
        <v>8414</v>
      </c>
      <c r="F3923" t="str">
        <f>"00367730"</f>
        <v>00367730</v>
      </c>
      <c r="G3923" t="s">
        <v>1653</v>
      </c>
      <c r="H3923" t="s">
        <v>20</v>
      </c>
      <c r="I3923">
        <v>1573</v>
      </c>
      <c r="J3923" t="s">
        <v>21</v>
      </c>
      <c r="K3923">
        <v>0</v>
      </c>
      <c r="L3923" t="s">
        <v>35</v>
      </c>
      <c r="M3923">
        <v>1250</v>
      </c>
    </row>
    <row r="3924" spans="1:13">
      <c r="A3924">
        <v>3918</v>
      </c>
      <c r="B3924">
        <v>46748</v>
      </c>
      <c r="C3924" t="s">
        <v>8415</v>
      </c>
      <c r="D3924" t="s">
        <v>700</v>
      </c>
      <c r="E3924" t="s">
        <v>8416</v>
      </c>
      <c r="F3924" t="str">
        <f>"00355008"</f>
        <v>00355008</v>
      </c>
      <c r="G3924" t="s">
        <v>488</v>
      </c>
      <c r="H3924" t="s">
        <v>20</v>
      </c>
      <c r="I3924">
        <v>1482</v>
      </c>
      <c r="J3924" t="s">
        <v>21</v>
      </c>
      <c r="K3924">
        <v>0</v>
      </c>
      <c r="L3924" t="s">
        <v>35</v>
      </c>
      <c r="M3924">
        <v>885</v>
      </c>
    </row>
    <row r="3925" spans="1:13">
      <c r="A3925">
        <v>3919</v>
      </c>
      <c r="B3925">
        <v>85346</v>
      </c>
      <c r="C3925" t="s">
        <v>8417</v>
      </c>
      <c r="D3925" t="s">
        <v>121</v>
      </c>
      <c r="E3925" t="s">
        <v>8418</v>
      </c>
      <c r="F3925" t="str">
        <f>"00377800"</f>
        <v>00377800</v>
      </c>
      <c r="G3925" t="s">
        <v>4788</v>
      </c>
      <c r="H3925" t="s">
        <v>1610</v>
      </c>
      <c r="I3925">
        <v>1309</v>
      </c>
      <c r="J3925" t="s">
        <v>21</v>
      </c>
      <c r="K3925">
        <v>6</v>
      </c>
      <c r="L3925" t="s">
        <v>35</v>
      </c>
      <c r="M3925">
        <v>1200</v>
      </c>
    </row>
    <row r="3926" spans="1:13">
      <c r="A3926">
        <v>3920</v>
      </c>
      <c r="B3926">
        <v>111946</v>
      </c>
      <c r="C3926" t="s">
        <v>8419</v>
      </c>
      <c r="D3926" t="s">
        <v>566</v>
      </c>
      <c r="E3926" t="s">
        <v>8420</v>
      </c>
      <c r="F3926" t="str">
        <f>"201604000476"</f>
        <v>201604000476</v>
      </c>
      <c r="G3926" t="s">
        <v>245</v>
      </c>
      <c r="H3926" t="s">
        <v>20</v>
      </c>
      <c r="I3926">
        <v>1406</v>
      </c>
      <c r="J3926" t="s">
        <v>21</v>
      </c>
      <c r="K3926">
        <v>0</v>
      </c>
      <c r="M3926">
        <v>1363</v>
      </c>
    </row>
    <row r="3927" spans="1:13">
      <c r="A3927">
        <v>3921</v>
      </c>
      <c r="B3927">
        <v>66575</v>
      </c>
      <c r="C3927" t="s">
        <v>8421</v>
      </c>
      <c r="D3927" t="s">
        <v>1474</v>
      </c>
      <c r="E3927" t="s">
        <v>8422</v>
      </c>
      <c r="F3927" t="str">
        <f>"00374807"</f>
        <v>00374807</v>
      </c>
      <c r="G3927" t="s">
        <v>1695</v>
      </c>
      <c r="H3927" t="s">
        <v>20</v>
      </c>
      <c r="I3927">
        <v>1533</v>
      </c>
      <c r="J3927" t="s">
        <v>21</v>
      </c>
      <c r="K3927">
        <v>0</v>
      </c>
      <c r="L3927" t="s">
        <v>35</v>
      </c>
      <c r="M3927">
        <v>908</v>
      </c>
    </row>
    <row r="3928" spans="1:13">
      <c r="A3928">
        <v>3922</v>
      </c>
      <c r="B3928">
        <v>115485</v>
      </c>
      <c r="C3928" t="s">
        <v>8423</v>
      </c>
      <c r="D3928" t="s">
        <v>209</v>
      </c>
      <c r="E3928" t="s">
        <v>8424</v>
      </c>
      <c r="F3928" t="str">
        <f>"00421567"</f>
        <v>00421567</v>
      </c>
      <c r="G3928" t="s">
        <v>307</v>
      </c>
      <c r="H3928" t="s">
        <v>308</v>
      </c>
      <c r="I3928">
        <v>1589</v>
      </c>
      <c r="J3928" t="s">
        <v>21</v>
      </c>
      <c r="K3928">
        <v>0</v>
      </c>
      <c r="M3928">
        <v>1343</v>
      </c>
    </row>
    <row r="3929" spans="1:13">
      <c r="A3929">
        <v>3923</v>
      </c>
      <c r="B3929">
        <v>110212</v>
      </c>
      <c r="C3929" t="s">
        <v>8425</v>
      </c>
      <c r="D3929" t="s">
        <v>105</v>
      </c>
      <c r="E3929" t="s">
        <v>8426</v>
      </c>
      <c r="F3929" t="str">
        <f>"00419210"</f>
        <v>00419210</v>
      </c>
      <c r="G3929" t="s">
        <v>2698</v>
      </c>
      <c r="H3929" t="s">
        <v>3640</v>
      </c>
      <c r="I3929">
        <v>1714</v>
      </c>
      <c r="J3929" t="s">
        <v>21</v>
      </c>
      <c r="K3929">
        <v>0</v>
      </c>
      <c r="L3929" t="s">
        <v>35</v>
      </c>
      <c r="M3929">
        <v>1258</v>
      </c>
    </row>
    <row r="3930" spans="1:13">
      <c r="A3930">
        <v>3924</v>
      </c>
      <c r="B3930">
        <v>76725</v>
      </c>
      <c r="C3930" t="s">
        <v>8427</v>
      </c>
      <c r="D3930" t="s">
        <v>209</v>
      </c>
      <c r="E3930" t="s">
        <v>8428</v>
      </c>
      <c r="F3930" t="str">
        <f>"00377417"</f>
        <v>00377417</v>
      </c>
      <c r="G3930" t="s">
        <v>8429</v>
      </c>
      <c r="H3930" t="s">
        <v>274</v>
      </c>
      <c r="I3930">
        <v>1387</v>
      </c>
      <c r="J3930" t="s">
        <v>21</v>
      </c>
      <c r="K3930">
        <v>6</v>
      </c>
      <c r="M3930">
        <v>1928</v>
      </c>
    </row>
    <row r="3931" spans="1:13">
      <c r="A3931">
        <v>3925</v>
      </c>
      <c r="B3931">
        <v>75089</v>
      </c>
      <c r="C3931" t="s">
        <v>8430</v>
      </c>
      <c r="D3931" t="s">
        <v>102</v>
      </c>
      <c r="E3931" t="s">
        <v>8431</v>
      </c>
      <c r="F3931" t="str">
        <f>"00227483"</f>
        <v>00227483</v>
      </c>
      <c r="G3931" t="s">
        <v>258</v>
      </c>
      <c r="H3931" t="s">
        <v>20</v>
      </c>
      <c r="I3931">
        <v>1484</v>
      </c>
      <c r="J3931" t="s">
        <v>21</v>
      </c>
      <c r="K3931">
        <v>0</v>
      </c>
      <c r="L3931" t="s">
        <v>112</v>
      </c>
      <c r="M3931">
        <v>800</v>
      </c>
    </row>
    <row r="3932" spans="1:13">
      <c r="A3932">
        <v>3926</v>
      </c>
      <c r="B3932">
        <v>95918</v>
      </c>
      <c r="C3932" t="s">
        <v>8432</v>
      </c>
      <c r="D3932" t="s">
        <v>243</v>
      </c>
      <c r="E3932" t="s">
        <v>8433</v>
      </c>
      <c r="F3932" t="str">
        <f>"00418249"</f>
        <v>00418249</v>
      </c>
      <c r="G3932" t="s">
        <v>100</v>
      </c>
      <c r="H3932" t="s">
        <v>20</v>
      </c>
      <c r="I3932">
        <v>1468</v>
      </c>
      <c r="J3932" t="s">
        <v>21</v>
      </c>
      <c r="K3932">
        <v>0</v>
      </c>
      <c r="L3932" t="s">
        <v>35</v>
      </c>
      <c r="M3932">
        <v>1058</v>
      </c>
    </row>
    <row r="3933" spans="1:13">
      <c r="A3933">
        <v>3927</v>
      </c>
      <c r="B3933">
        <v>52136</v>
      </c>
      <c r="C3933" t="s">
        <v>8434</v>
      </c>
      <c r="D3933" t="s">
        <v>76</v>
      </c>
      <c r="E3933" t="s">
        <v>8435</v>
      </c>
      <c r="F3933" t="str">
        <f>"00359169"</f>
        <v>00359169</v>
      </c>
      <c r="G3933" t="s">
        <v>8400</v>
      </c>
      <c r="H3933" t="s">
        <v>137</v>
      </c>
      <c r="I3933">
        <v>1604</v>
      </c>
      <c r="J3933" t="s">
        <v>21</v>
      </c>
      <c r="K3933">
        <v>0</v>
      </c>
      <c r="M3933">
        <v>1304</v>
      </c>
    </row>
    <row r="3934" spans="1:13">
      <c r="A3934">
        <v>3928</v>
      </c>
      <c r="B3934">
        <v>67279</v>
      </c>
      <c r="C3934" t="s">
        <v>8436</v>
      </c>
      <c r="D3934" t="s">
        <v>8437</v>
      </c>
      <c r="E3934" t="s">
        <v>8438</v>
      </c>
      <c r="F3934" t="str">
        <f>"201511015952"</f>
        <v>201511015952</v>
      </c>
      <c r="G3934" t="s">
        <v>19</v>
      </c>
      <c r="H3934" t="s">
        <v>20</v>
      </c>
      <c r="I3934">
        <v>1531</v>
      </c>
      <c r="J3934" t="s">
        <v>21</v>
      </c>
      <c r="K3934">
        <v>0</v>
      </c>
      <c r="L3934" t="s">
        <v>88</v>
      </c>
      <c r="M3934">
        <v>500</v>
      </c>
    </row>
    <row r="3935" spans="1:13">
      <c r="A3935">
        <v>3929</v>
      </c>
      <c r="B3935">
        <v>46865</v>
      </c>
      <c r="C3935" t="s">
        <v>8439</v>
      </c>
      <c r="D3935" t="s">
        <v>130</v>
      </c>
      <c r="E3935" t="s">
        <v>8440</v>
      </c>
      <c r="F3935" t="str">
        <f>"201511011304"</f>
        <v>201511011304</v>
      </c>
      <c r="G3935" t="s">
        <v>1561</v>
      </c>
      <c r="H3935" t="s">
        <v>20</v>
      </c>
      <c r="I3935">
        <v>1505</v>
      </c>
      <c r="J3935" t="s">
        <v>21</v>
      </c>
      <c r="K3935">
        <v>0</v>
      </c>
      <c r="M3935">
        <v>1628</v>
      </c>
    </row>
    <row r="3936" spans="1:13">
      <c r="A3936">
        <v>3930</v>
      </c>
      <c r="B3936">
        <v>115129</v>
      </c>
      <c r="C3936" t="s">
        <v>8441</v>
      </c>
      <c r="D3936" t="s">
        <v>94</v>
      </c>
      <c r="E3936" t="s">
        <v>8442</v>
      </c>
      <c r="F3936" t="str">
        <f>"00423056"</f>
        <v>00423056</v>
      </c>
      <c r="G3936" t="s">
        <v>150</v>
      </c>
      <c r="H3936" t="s">
        <v>151</v>
      </c>
      <c r="I3936">
        <v>1699</v>
      </c>
      <c r="J3936" t="s">
        <v>21</v>
      </c>
      <c r="K3936">
        <v>0</v>
      </c>
      <c r="L3936" t="s">
        <v>35</v>
      </c>
      <c r="M3936">
        <v>1008</v>
      </c>
    </row>
    <row r="3937" spans="1:13">
      <c r="A3937">
        <v>3931</v>
      </c>
      <c r="B3937">
        <v>100010</v>
      </c>
      <c r="C3937" t="s">
        <v>8443</v>
      </c>
      <c r="D3937" t="s">
        <v>153</v>
      </c>
      <c r="E3937" t="s">
        <v>8444</v>
      </c>
      <c r="F3937" t="str">
        <f>"00382923"</f>
        <v>00382923</v>
      </c>
      <c r="G3937" t="s">
        <v>255</v>
      </c>
      <c r="H3937" t="s">
        <v>20</v>
      </c>
      <c r="I3937">
        <v>1513</v>
      </c>
      <c r="J3937" t="s">
        <v>21</v>
      </c>
      <c r="K3937">
        <v>6</v>
      </c>
      <c r="M3937">
        <v>1328</v>
      </c>
    </row>
    <row r="3938" spans="1:13">
      <c r="A3938">
        <v>3932</v>
      </c>
      <c r="B3938">
        <v>65756</v>
      </c>
      <c r="C3938" t="s">
        <v>8445</v>
      </c>
      <c r="D3938" t="s">
        <v>180</v>
      </c>
      <c r="E3938" t="s">
        <v>8446</v>
      </c>
      <c r="F3938" t="str">
        <f>"00355949"</f>
        <v>00355949</v>
      </c>
      <c r="G3938" t="s">
        <v>358</v>
      </c>
      <c r="H3938" t="s">
        <v>20</v>
      </c>
      <c r="I3938">
        <v>1549</v>
      </c>
      <c r="J3938" t="s">
        <v>21</v>
      </c>
      <c r="K3938">
        <v>0</v>
      </c>
      <c r="L3938" t="s">
        <v>35</v>
      </c>
      <c r="M3938">
        <v>908</v>
      </c>
    </row>
    <row r="3939" spans="1:13">
      <c r="A3939">
        <v>3933</v>
      </c>
      <c r="B3939">
        <v>97608</v>
      </c>
      <c r="C3939" t="s">
        <v>8447</v>
      </c>
      <c r="D3939" t="s">
        <v>243</v>
      </c>
      <c r="E3939" t="s">
        <v>8448</v>
      </c>
      <c r="F3939" t="str">
        <f>"201511011020"</f>
        <v>201511011020</v>
      </c>
      <c r="G3939" t="s">
        <v>325</v>
      </c>
      <c r="H3939" t="s">
        <v>326</v>
      </c>
      <c r="I3939">
        <v>1592</v>
      </c>
      <c r="J3939" t="s">
        <v>21</v>
      </c>
      <c r="K3939">
        <v>0</v>
      </c>
      <c r="M3939">
        <v>1921</v>
      </c>
    </row>
    <row r="3940" spans="1:13">
      <c r="A3940">
        <v>3934</v>
      </c>
      <c r="B3940">
        <v>64679</v>
      </c>
      <c r="C3940" t="s">
        <v>8449</v>
      </c>
      <c r="D3940" t="s">
        <v>180</v>
      </c>
      <c r="E3940" t="s">
        <v>8450</v>
      </c>
      <c r="F3940" t="str">
        <f>"00346592"</f>
        <v>00346592</v>
      </c>
      <c r="G3940" t="s">
        <v>1695</v>
      </c>
      <c r="H3940" t="s">
        <v>20</v>
      </c>
      <c r="I3940">
        <v>1533</v>
      </c>
      <c r="J3940" t="s">
        <v>21</v>
      </c>
      <c r="K3940">
        <v>0</v>
      </c>
      <c r="M3940">
        <v>1418</v>
      </c>
    </row>
    <row r="3941" spans="1:13">
      <c r="A3941">
        <v>3935</v>
      </c>
      <c r="B3941">
        <v>56300</v>
      </c>
      <c r="C3941" t="s">
        <v>8451</v>
      </c>
      <c r="D3941" t="s">
        <v>80</v>
      </c>
      <c r="E3941" t="s">
        <v>8452</v>
      </c>
      <c r="F3941" t="str">
        <f>"00267789"</f>
        <v>00267789</v>
      </c>
      <c r="G3941" t="s">
        <v>1509</v>
      </c>
      <c r="H3941" t="s">
        <v>20</v>
      </c>
      <c r="I3941">
        <v>1563</v>
      </c>
      <c r="J3941" t="s">
        <v>21</v>
      </c>
      <c r="K3941">
        <v>6</v>
      </c>
      <c r="L3941" t="s">
        <v>35</v>
      </c>
      <c r="M3941">
        <v>1008</v>
      </c>
    </row>
    <row r="3942" spans="1:13">
      <c r="A3942">
        <v>3936</v>
      </c>
      <c r="B3942">
        <v>72119</v>
      </c>
      <c r="C3942" t="s">
        <v>8453</v>
      </c>
      <c r="D3942" t="s">
        <v>243</v>
      </c>
      <c r="E3942" t="s">
        <v>8454</v>
      </c>
      <c r="F3942" t="str">
        <f>"00247209"</f>
        <v>00247209</v>
      </c>
      <c r="G3942" t="s">
        <v>600</v>
      </c>
      <c r="H3942" t="s">
        <v>366</v>
      </c>
      <c r="I3942">
        <v>1694</v>
      </c>
      <c r="J3942" t="s">
        <v>21</v>
      </c>
      <c r="K3942">
        <v>0</v>
      </c>
      <c r="L3942" t="s">
        <v>88</v>
      </c>
      <c r="M3942">
        <v>675</v>
      </c>
    </row>
    <row r="3943" spans="1:13">
      <c r="A3943">
        <v>3937</v>
      </c>
      <c r="B3943">
        <v>94290</v>
      </c>
      <c r="C3943" t="s">
        <v>8455</v>
      </c>
      <c r="D3943" t="s">
        <v>3880</v>
      </c>
      <c r="E3943" t="s">
        <v>8456</v>
      </c>
      <c r="F3943" t="str">
        <f>"00399593"</f>
        <v>00399593</v>
      </c>
      <c r="G3943" t="s">
        <v>47</v>
      </c>
      <c r="H3943" t="s">
        <v>48</v>
      </c>
      <c r="I3943">
        <v>1623</v>
      </c>
      <c r="J3943" t="s">
        <v>21</v>
      </c>
      <c r="K3943">
        <v>0</v>
      </c>
      <c r="L3943" t="s">
        <v>35</v>
      </c>
      <c r="M3943">
        <v>1008</v>
      </c>
    </row>
    <row r="3944" spans="1:13">
      <c r="A3944">
        <v>3938</v>
      </c>
      <c r="B3944">
        <v>67054</v>
      </c>
      <c r="C3944" t="s">
        <v>8457</v>
      </c>
      <c r="D3944" t="s">
        <v>153</v>
      </c>
      <c r="E3944" t="s">
        <v>8458</v>
      </c>
      <c r="F3944" t="str">
        <f>"00405748"</f>
        <v>00405748</v>
      </c>
      <c r="G3944" t="s">
        <v>1653</v>
      </c>
      <c r="H3944" t="s">
        <v>20</v>
      </c>
      <c r="I3944">
        <v>1573</v>
      </c>
      <c r="J3944" t="s">
        <v>21</v>
      </c>
      <c r="K3944">
        <v>0</v>
      </c>
      <c r="M3944">
        <v>1568</v>
      </c>
    </row>
    <row r="3945" spans="1:13">
      <c r="A3945">
        <v>3939</v>
      </c>
      <c r="B3945">
        <v>80460</v>
      </c>
      <c r="C3945" t="s">
        <v>8459</v>
      </c>
      <c r="D3945" t="s">
        <v>198</v>
      </c>
      <c r="E3945">
        <v>594585</v>
      </c>
      <c r="F3945" t="str">
        <f>"00330469"</f>
        <v>00330469</v>
      </c>
      <c r="G3945" t="s">
        <v>190</v>
      </c>
      <c r="H3945" t="s">
        <v>191</v>
      </c>
      <c r="I3945">
        <v>1618</v>
      </c>
      <c r="J3945" t="s">
        <v>21</v>
      </c>
      <c r="K3945">
        <v>0</v>
      </c>
      <c r="M3945">
        <v>1478</v>
      </c>
    </row>
    <row r="3946" spans="1:13">
      <c r="A3946">
        <v>3940</v>
      </c>
      <c r="B3946">
        <v>83444</v>
      </c>
      <c r="C3946" t="s">
        <v>8460</v>
      </c>
      <c r="D3946" t="s">
        <v>105</v>
      </c>
      <c r="E3946" t="s">
        <v>8461</v>
      </c>
      <c r="F3946" t="str">
        <f>"00406529"</f>
        <v>00406529</v>
      </c>
      <c r="G3946" t="s">
        <v>125</v>
      </c>
      <c r="H3946" t="s">
        <v>20</v>
      </c>
      <c r="I3946">
        <v>1507</v>
      </c>
      <c r="J3946" t="s">
        <v>21</v>
      </c>
      <c r="K3946">
        <v>0</v>
      </c>
      <c r="L3946" t="s">
        <v>112</v>
      </c>
      <c r="M3946">
        <v>900</v>
      </c>
    </row>
    <row r="3947" spans="1:13">
      <c r="A3947">
        <v>3941</v>
      </c>
      <c r="B3947">
        <v>53659</v>
      </c>
      <c r="C3947" t="s">
        <v>8462</v>
      </c>
      <c r="D3947" t="s">
        <v>127</v>
      </c>
      <c r="E3947" t="s">
        <v>8463</v>
      </c>
      <c r="F3947" t="str">
        <f>"00272602"</f>
        <v>00272602</v>
      </c>
      <c r="G3947" t="s">
        <v>302</v>
      </c>
      <c r="H3947" t="s">
        <v>20</v>
      </c>
      <c r="I3947">
        <v>1494</v>
      </c>
      <c r="J3947" t="s">
        <v>21</v>
      </c>
      <c r="K3947">
        <v>0</v>
      </c>
      <c r="L3947" t="s">
        <v>35</v>
      </c>
      <c r="M3947">
        <v>1100</v>
      </c>
    </row>
    <row r="3948" spans="1:13">
      <c r="A3948">
        <v>3942</v>
      </c>
      <c r="B3948">
        <v>105035</v>
      </c>
      <c r="C3948" t="s">
        <v>8464</v>
      </c>
      <c r="D3948" t="s">
        <v>105</v>
      </c>
      <c r="E3948" t="s">
        <v>8465</v>
      </c>
      <c r="F3948" t="str">
        <f>"200802011152"</f>
        <v>200802011152</v>
      </c>
      <c r="G3948" t="s">
        <v>211</v>
      </c>
      <c r="H3948" t="s">
        <v>48</v>
      </c>
      <c r="I3948">
        <v>1628</v>
      </c>
      <c r="J3948" t="s">
        <v>21</v>
      </c>
      <c r="K3948">
        <v>0</v>
      </c>
      <c r="L3948" t="s">
        <v>112</v>
      </c>
      <c r="M3948">
        <v>808</v>
      </c>
    </row>
    <row r="3949" spans="1:13">
      <c r="A3949">
        <v>3943</v>
      </c>
      <c r="B3949">
        <v>47638</v>
      </c>
      <c r="C3949" t="s">
        <v>8466</v>
      </c>
      <c r="D3949" t="s">
        <v>105</v>
      </c>
      <c r="E3949" t="s">
        <v>8467</v>
      </c>
      <c r="F3949" t="str">
        <f>"201511010636"</f>
        <v>201511010636</v>
      </c>
      <c r="G3949" t="s">
        <v>437</v>
      </c>
      <c r="H3949" t="s">
        <v>20</v>
      </c>
      <c r="I3949">
        <v>1407</v>
      </c>
      <c r="J3949" t="s">
        <v>21</v>
      </c>
      <c r="K3949">
        <v>0</v>
      </c>
      <c r="L3949" t="s">
        <v>59</v>
      </c>
      <c r="M3949">
        <v>1333</v>
      </c>
    </row>
    <row r="3950" spans="1:13">
      <c r="A3950">
        <v>3944</v>
      </c>
      <c r="B3950">
        <v>110558</v>
      </c>
      <c r="C3950" t="s">
        <v>8468</v>
      </c>
      <c r="D3950" t="s">
        <v>218</v>
      </c>
      <c r="E3950" t="s">
        <v>8469</v>
      </c>
      <c r="F3950" t="str">
        <f>"00400485"</f>
        <v>00400485</v>
      </c>
      <c r="G3950" t="s">
        <v>341</v>
      </c>
      <c r="H3950" t="s">
        <v>20</v>
      </c>
      <c r="I3950">
        <v>1553</v>
      </c>
      <c r="J3950" t="s">
        <v>21</v>
      </c>
      <c r="K3950">
        <v>6</v>
      </c>
      <c r="M3950">
        <v>1628</v>
      </c>
    </row>
    <row r="3951" spans="1:13">
      <c r="A3951">
        <v>3945</v>
      </c>
      <c r="B3951">
        <v>115301</v>
      </c>
      <c r="C3951" t="s">
        <v>8470</v>
      </c>
      <c r="D3951" t="s">
        <v>76</v>
      </c>
      <c r="E3951" t="s">
        <v>8471</v>
      </c>
      <c r="F3951" t="str">
        <f>"00415545"</f>
        <v>00415545</v>
      </c>
      <c r="G3951" t="s">
        <v>892</v>
      </c>
      <c r="H3951" t="s">
        <v>20</v>
      </c>
      <c r="I3951">
        <v>1410</v>
      </c>
      <c r="J3951" t="s">
        <v>21</v>
      </c>
      <c r="K3951">
        <v>0</v>
      </c>
      <c r="M3951">
        <v>1403</v>
      </c>
    </row>
    <row r="3952" spans="1:13">
      <c r="A3952">
        <v>3946</v>
      </c>
      <c r="B3952">
        <v>57953</v>
      </c>
      <c r="C3952" t="s">
        <v>8472</v>
      </c>
      <c r="D3952" t="s">
        <v>153</v>
      </c>
      <c r="E3952" t="s">
        <v>8473</v>
      </c>
      <c r="F3952" t="str">
        <f>"201511008194"</f>
        <v>201511008194</v>
      </c>
      <c r="G3952" t="s">
        <v>211</v>
      </c>
      <c r="H3952" t="s">
        <v>48</v>
      </c>
      <c r="I3952">
        <v>1628</v>
      </c>
      <c r="J3952" t="s">
        <v>21</v>
      </c>
      <c r="K3952">
        <v>0</v>
      </c>
      <c r="L3952" t="s">
        <v>59</v>
      </c>
      <c r="M3952">
        <v>788</v>
      </c>
    </row>
    <row r="3953" spans="1:13">
      <c r="A3953">
        <v>3947</v>
      </c>
      <c r="B3953">
        <v>96324</v>
      </c>
      <c r="C3953" t="s">
        <v>8474</v>
      </c>
      <c r="D3953" t="s">
        <v>213</v>
      </c>
      <c r="E3953" t="s">
        <v>8475</v>
      </c>
      <c r="F3953" t="str">
        <f>"00390911"</f>
        <v>00390911</v>
      </c>
      <c r="G3953" t="s">
        <v>371</v>
      </c>
      <c r="H3953" t="s">
        <v>20</v>
      </c>
      <c r="I3953">
        <v>1526</v>
      </c>
      <c r="J3953" t="s">
        <v>21</v>
      </c>
      <c r="K3953">
        <v>6</v>
      </c>
      <c r="L3953" t="s">
        <v>35</v>
      </c>
      <c r="M3953">
        <v>408</v>
      </c>
    </row>
    <row r="3954" spans="1:13">
      <c r="A3954">
        <v>3948</v>
      </c>
      <c r="B3954">
        <v>92272</v>
      </c>
      <c r="C3954" t="s">
        <v>8476</v>
      </c>
      <c r="D3954" t="s">
        <v>145</v>
      </c>
      <c r="E3954" t="s">
        <v>8477</v>
      </c>
      <c r="F3954" t="str">
        <f>"00381332"</f>
        <v>00381332</v>
      </c>
      <c r="G3954" t="s">
        <v>1695</v>
      </c>
      <c r="H3954" t="s">
        <v>20</v>
      </c>
      <c r="I3954">
        <v>1533</v>
      </c>
      <c r="J3954" t="s">
        <v>21</v>
      </c>
      <c r="K3954">
        <v>0</v>
      </c>
      <c r="M3954">
        <v>1328</v>
      </c>
    </row>
    <row r="3955" spans="1:13">
      <c r="A3955">
        <v>3949</v>
      </c>
      <c r="B3955">
        <v>55389</v>
      </c>
      <c r="C3955" t="s">
        <v>8478</v>
      </c>
      <c r="D3955" t="s">
        <v>90</v>
      </c>
      <c r="E3955" t="s">
        <v>8479</v>
      </c>
      <c r="F3955" t="str">
        <f>"00279875"</f>
        <v>00279875</v>
      </c>
      <c r="G3955" t="s">
        <v>352</v>
      </c>
      <c r="H3955" t="s">
        <v>20</v>
      </c>
      <c r="I3955">
        <v>1471</v>
      </c>
      <c r="J3955" t="s">
        <v>21</v>
      </c>
      <c r="K3955">
        <v>0</v>
      </c>
      <c r="L3955" t="s">
        <v>59</v>
      </c>
      <c r="M3955">
        <v>928</v>
      </c>
    </row>
    <row r="3956" spans="1:13">
      <c r="A3956">
        <v>3950</v>
      </c>
      <c r="B3956">
        <v>56676</v>
      </c>
      <c r="C3956" t="s">
        <v>8480</v>
      </c>
      <c r="D3956" t="s">
        <v>90</v>
      </c>
      <c r="E3956" t="s">
        <v>8481</v>
      </c>
      <c r="F3956" t="str">
        <f>"00379964"</f>
        <v>00379964</v>
      </c>
      <c r="G3956" t="s">
        <v>1155</v>
      </c>
      <c r="H3956" t="s">
        <v>20</v>
      </c>
      <c r="I3956">
        <v>1480</v>
      </c>
      <c r="J3956" t="s">
        <v>21</v>
      </c>
      <c r="K3956">
        <v>0</v>
      </c>
      <c r="L3956" t="s">
        <v>59</v>
      </c>
      <c r="M3956">
        <v>1339</v>
      </c>
    </row>
    <row r="3957" spans="1:13">
      <c r="A3957">
        <v>3951</v>
      </c>
      <c r="B3957">
        <v>49167</v>
      </c>
      <c r="C3957" t="s">
        <v>8482</v>
      </c>
      <c r="D3957" t="s">
        <v>145</v>
      </c>
      <c r="E3957" t="s">
        <v>8483</v>
      </c>
      <c r="F3957" t="str">
        <f>"00276147"</f>
        <v>00276147</v>
      </c>
      <c r="G3957" t="s">
        <v>87</v>
      </c>
      <c r="H3957" t="s">
        <v>20</v>
      </c>
      <c r="I3957">
        <v>1436</v>
      </c>
      <c r="J3957" t="s">
        <v>21</v>
      </c>
      <c r="K3957">
        <v>0</v>
      </c>
      <c r="L3957" t="s">
        <v>35</v>
      </c>
      <c r="M3957">
        <v>908</v>
      </c>
    </row>
    <row r="3958" spans="1:13">
      <c r="A3958">
        <v>3952</v>
      </c>
      <c r="B3958">
        <v>91972</v>
      </c>
      <c r="C3958" t="s">
        <v>8484</v>
      </c>
      <c r="D3958" t="s">
        <v>2130</v>
      </c>
      <c r="E3958" t="s">
        <v>8485</v>
      </c>
      <c r="F3958" t="str">
        <f>"00376400"</f>
        <v>00376400</v>
      </c>
      <c r="G3958" t="s">
        <v>245</v>
      </c>
      <c r="H3958" t="s">
        <v>20</v>
      </c>
      <c r="I3958">
        <v>1406</v>
      </c>
      <c r="J3958" t="s">
        <v>21</v>
      </c>
      <c r="K3958">
        <v>0</v>
      </c>
      <c r="L3958" t="s">
        <v>83</v>
      </c>
      <c r="M3958">
        <v>1288</v>
      </c>
    </row>
    <row r="3959" spans="1:13">
      <c r="A3959">
        <v>3953</v>
      </c>
      <c r="B3959">
        <v>103101</v>
      </c>
      <c r="C3959" t="s">
        <v>8486</v>
      </c>
      <c r="D3959" t="s">
        <v>145</v>
      </c>
      <c r="E3959" t="s">
        <v>8487</v>
      </c>
      <c r="F3959" t="str">
        <f>"00407824"</f>
        <v>00407824</v>
      </c>
      <c r="G3959" t="s">
        <v>184</v>
      </c>
      <c r="H3959" t="s">
        <v>2407</v>
      </c>
      <c r="I3959">
        <v>1617</v>
      </c>
      <c r="J3959" t="s">
        <v>21</v>
      </c>
      <c r="K3959">
        <v>0</v>
      </c>
      <c r="L3959" t="s">
        <v>35</v>
      </c>
      <c r="M3959">
        <v>985</v>
      </c>
    </row>
    <row r="3960" spans="1:13">
      <c r="A3960">
        <v>3954</v>
      </c>
      <c r="B3960">
        <v>95018</v>
      </c>
      <c r="C3960" t="s">
        <v>8488</v>
      </c>
      <c r="D3960" t="s">
        <v>163</v>
      </c>
      <c r="E3960" t="s">
        <v>8489</v>
      </c>
      <c r="F3960" t="str">
        <f>"00402314"</f>
        <v>00402314</v>
      </c>
      <c r="G3960" t="s">
        <v>3237</v>
      </c>
      <c r="H3960" t="s">
        <v>20</v>
      </c>
      <c r="I3960">
        <v>1515</v>
      </c>
      <c r="J3960" t="s">
        <v>21</v>
      </c>
      <c r="K3960">
        <v>6</v>
      </c>
      <c r="L3960" t="s">
        <v>59</v>
      </c>
      <c r="M3960">
        <v>802</v>
      </c>
    </row>
    <row r="3961" spans="1:13">
      <c r="A3961">
        <v>3955</v>
      </c>
      <c r="B3961">
        <v>107195</v>
      </c>
      <c r="C3961" t="s">
        <v>8490</v>
      </c>
      <c r="D3961" t="s">
        <v>209</v>
      </c>
      <c r="E3961" t="s">
        <v>8491</v>
      </c>
      <c r="F3961" t="str">
        <f>"00259098"</f>
        <v>00259098</v>
      </c>
      <c r="G3961" t="s">
        <v>67</v>
      </c>
      <c r="H3961" t="s">
        <v>20</v>
      </c>
      <c r="I3961">
        <v>1434</v>
      </c>
      <c r="J3961" t="s">
        <v>21</v>
      </c>
      <c r="K3961">
        <v>0</v>
      </c>
      <c r="M3961">
        <v>1438</v>
      </c>
    </row>
    <row r="3962" spans="1:13">
      <c r="A3962">
        <v>3956</v>
      </c>
      <c r="B3962">
        <v>70584</v>
      </c>
      <c r="C3962" t="s">
        <v>8492</v>
      </c>
      <c r="D3962" t="s">
        <v>1680</v>
      </c>
      <c r="E3962" t="s">
        <v>8493</v>
      </c>
      <c r="F3962" t="str">
        <f>"00219694"</f>
        <v>00219694</v>
      </c>
      <c r="G3962" t="s">
        <v>100</v>
      </c>
      <c r="H3962" t="s">
        <v>20</v>
      </c>
      <c r="I3962">
        <v>1468</v>
      </c>
      <c r="J3962" t="s">
        <v>21</v>
      </c>
      <c r="K3962">
        <v>0</v>
      </c>
      <c r="L3962" t="s">
        <v>35</v>
      </c>
      <c r="M3962">
        <v>1200</v>
      </c>
    </row>
    <row r="3963" spans="1:13">
      <c r="A3963">
        <v>3957</v>
      </c>
      <c r="B3963">
        <v>112031</v>
      </c>
      <c r="C3963" t="s">
        <v>8494</v>
      </c>
      <c r="D3963" t="s">
        <v>726</v>
      </c>
      <c r="E3963" t="s">
        <v>8495</v>
      </c>
      <c r="F3963" t="str">
        <f>"00415997"</f>
        <v>00415997</v>
      </c>
      <c r="G3963" t="s">
        <v>111</v>
      </c>
      <c r="H3963" t="s">
        <v>48</v>
      </c>
      <c r="I3963">
        <v>1620</v>
      </c>
      <c r="J3963" t="s">
        <v>21</v>
      </c>
      <c r="K3963">
        <v>0</v>
      </c>
      <c r="L3963" t="s">
        <v>35</v>
      </c>
      <c r="M3963">
        <v>875</v>
      </c>
    </row>
    <row r="3964" spans="1:13">
      <c r="A3964">
        <v>3958</v>
      </c>
      <c r="B3964">
        <v>72944</v>
      </c>
      <c r="C3964" t="s">
        <v>8496</v>
      </c>
      <c r="D3964" t="s">
        <v>373</v>
      </c>
      <c r="E3964" t="s">
        <v>8497</v>
      </c>
      <c r="F3964" t="str">
        <f>"00042203"</f>
        <v>00042203</v>
      </c>
      <c r="G3964" t="s">
        <v>8400</v>
      </c>
      <c r="H3964" t="s">
        <v>137</v>
      </c>
      <c r="I3964">
        <v>1604</v>
      </c>
      <c r="J3964" t="s">
        <v>21</v>
      </c>
      <c r="K3964">
        <v>0</v>
      </c>
      <c r="L3964" t="s">
        <v>35</v>
      </c>
      <c r="M3964">
        <v>900</v>
      </c>
    </row>
    <row r="3965" spans="1:13">
      <c r="A3965">
        <v>3959</v>
      </c>
      <c r="B3965">
        <v>51186</v>
      </c>
      <c r="C3965" t="s">
        <v>8498</v>
      </c>
      <c r="D3965" t="s">
        <v>243</v>
      </c>
      <c r="E3965" t="s">
        <v>8499</v>
      </c>
      <c r="F3965" t="str">
        <f>"00355135"</f>
        <v>00355135</v>
      </c>
      <c r="G3965" t="s">
        <v>646</v>
      </c>
      <c r="H3965" t="s">
        <v>234</v>
      </c>
      <c r="I3965">
        <v>1333</v>
      </c>
      <c r="J3965" t="s">
        <v>21</v>
      </c>
      <c r="K3965">
        <v>6</v>
      </c>
      <c r="L3965" t="s">
        <v>35</v>
      </c>
      <c r="M3965">
        <v>908</v>
      </c>
    </row>
    <row r="3966" spans="1:13">
      <c r="A3966">
        <v>3960</v>
      </c>
      <c r="B3966">
        <v>82331</v>
      </c>
      <c r="C3966" t="s">
        <v>8500</v>
      </c>
      <c r="D3966" t="s">
        <v>334</v>
      </c>
      <c r="E3966" t="s">
        <v>8501</v>
      </c>
      <c r="F3966" t="str">
        <f>"00260326"</f>
        <v>00260326</v>
      </c>
      <c r="G3966" t="s">
        <v>125</v>
      </c>
      <c r="H3966" t="s">
        <v>20</v>
      </c>
      <c r="I3966">
        <v>1507</v>
      </c>
      <c r="J3966" t="s">
        <v>21</v>
      </c>
      <c r="K3966">
        <v>0</v>
      </c>
      <c r="L3966" t="s">
        <v>59</v>
      </c>
      <c r="M3966">
        <v>1088</v>
      </c>
    </row>
    <row r="3967" spans="1:13">
      <c r="A3967">
        <v>3961</v>
      </c>
      <c r="B3967">
        <v>95886</v>
      </c>
      <c r="C3967" t="s">
        <v>8502</v>
      </c>
      <c r="D3967" t="s">
        <v>163</v>
      </c>
      <c r="E3967" t="s">
        <v>8503</v>
      </c>
      <c r="F3967" t="str">
        <f>"00049568"</f>
        <v>00049568</v>
      </c>
      <c r="G3967" t="s">
        <v>107</v>
      </c>
      <c r="H3967" t="s">
        <v>20</v>
      </c>
      <c r="I3967">
        <v>1472</v>
      </c>
      <c r="J3967" t="s">
        <v>21</v>
      </c>
      <c r="K3967">
        <v>0</v>
      </c>
      <c r="L3967" t="s">
        <v>401</v>
      </c>
      <c r="M3967">
        <v>1040</v>
      </c>
    </row>
    <row r="3968" spans="1:13">
      <c r="A3968">
        <v>3962</v>
      </c>
      <c r="B3968">
        <v>105262</v>
      </c>
      <c r="C3968" t="s">
        <v>8504</v>
      </c>
      <c r="D3968" t="s">
        <v>218</v>
      </c>
      <c r="E3968" t="s">
        <v>8505</v>
      </c>
      <c r="F3968" t="str">
        <f>"00407330"</f>
        <v>00407330</v>
      </c>
      <c r="G3968" t="s">
        <v>418</v>
      </c>
      <c r="H3968" t="s">
        <v>234</v>
      </c>
      <c r="I3968">
        <v>1335</v>
      </c>
      <c r="J3968" t="s">
        <v>21</v>
      </c>
      <c r="K3968">
        <v>6</v>
      </c>
      <c r="L3968" t="s">
        <v>25</v>
      </c>
      <c r="M3968">
        <v>1028</v>
      </c>
    </row>
    <row r="3969" spans="1:13">
      <c r="A3969">
        <v>3963</v>
      </c>
      <c r="B3969">
        <v>78295</v>
      </c>
      <c r="C3969" t="s">
        <v>8506</v>
      </c>
      <c r="D3969" t="s">
        <v>209</v>
      </c>
      <c r="E3969" t="s">
        <v>8507</v>
      </c>
      <c r="F3969" t="str">
        <f>"00285053"</f>
        <v>00285053</v>
      </c>
      <c r="G3969" t="s">
        <v>583</v>
      </c>
      <c r="H3969" t="s">
        <v>137</v>
      </c>
      <c r="I3969">
        <v>1601</v>
      </c>
      <c r="J3969" t="s">
        <v>21</v>
      </c>
      <c r="K3969">
        <v>0</v>
      </c>
      <c r="L3969" t="s">
        <v>59</v>
      </c>
      <c r="M3969">
        <v>1128</v>
      </c>
    </row>
    <row r="3970" spans="1:13">
      <c r="A3970">
        <v>3964</v>
      </c>
      <c r="B3970">
        <v>107796</v>
      </c>
      <c r="C3970" t="s">
        <v>8508</v>
      </c>
      <c r="D3970" t="s">
        <v>495</v>
      </c>
      <c r="E3970" t="s">
        <v>8509</v>
      </c>
      <c r="F3970" t="str">
        <f>"00252591"</f>
        <v>00252591</v>
      </c>
      <c r="G3970" t="s">
        <v>38</v>
      </c>
      <c r="H3970" t="s">
        <v>39</v>
      </c>
      <c r="I3970">
        <v>1634</v>
      </c>
      <c r="J3970" t="s">
        <v>21</v>
      </c>
      <c r="K3970">
        <v>6</v>
      </c>
      <c r="L3970" t="s">
        <v>112</v>
      </c>
      <c r="M3970">
        <v>458</v>
      </c>
    </row>
    <row r="3971" spans="1:13">
      <c r="A3971">
        <v>3965</v>
      </c>
      <c r="B3971">
        <v>53230</v>
      </c>
      <c r="C3971" t="s">
        <v>8510</v>
      </c>
      <c r="D3971" t="s">
        <v>130</v>
      </c>
      <c r="E3971" t="s">
        <v>8511</v>
      </c>
      <c r="F3971" t="str">
        <f>"00358618"</f>
        <v>00358618</v>
      </c>
      <c r="G3971" t="s">
        <v>38</v>
      </c>
      <c r="H3971" t="s">
        <v>39</v>
      </c>
      <c r="I3971">
        <v>1634</v>
      </c>
      <c r="J3971" t="s">
        <v>21</v>
      </c>
      <c r="K3971">
        <v>6</v>
      </c>
      <c r="M3971">
        <v>1403</v>
      </c>
    </row>
    <row r="3972" spans="1:13">
      <c r="A3972">
        <v>3966</v>
      </c>
      <c r="B3972">
        <v>116363</v>
      </c>
      <c r="C3972" t="s">
        <v>8512</v>
      </c>
      <c r="D3972" t="s">
        <v>102</v>
      </c>
      <c r="E3972" t="s">
        <v>8513</v>
      </c>
      <c r="F3972" t="str">
        <f>"00417662"</f>
        <v>00417662</v>
      </c>
      <c r="G3972" t="s">
        <v>955</v>
      </c>
      <c r="H3972" t="s">
        <v>48</v>
      </c>
      <c r="I3972">
        <v>1630</v>
      </c>
      <c r="J3972" t="s">
        <v>21</v>
      </c>
      <c r="K3972">
        <v>0</v>
      </c>
      <c r="M3972">
        <v>1288</v>
      </c>
    </row>
    <row r="3973" spans="1:13">
      <c r="A3973">
        <v>3967</v>
      </c>
      <c r="B3973">
        <v>84034</v>
      </c>
      <c r="C3973" t="s">
        <v>8514</v>
      </c>
      <c r="D3973" t="s">
        <v>811</v>
      </c>
      <c r="E3973" t="s">
        <v>8515</v>
      </c>
      <c r="F3973" t="str">
        <f>"00400466"</f>
        <v>00400466</v>
      </c>
      <c r="G3973" t="s">
        <v>465</v>
      </c>
      <c r="H3973" t="s">
        <v>20</v>
      </c>
      <c r="I3973">
        <v>1534</v>
      </c>
      <c r="J3973" t="s">
        <v>21</v>
      </c>
      <c r="K3973">
        <v>0</v>
      </c>
      <c r="M3973">
        <v>1335</v>
      </c>
    </row>
    <row r="3974" spans="1:13">
      <c r="A3974">
        <v>3968</v>
      </c>
      <c r="B3974">
        <v>92838</v>
      </c>
      <c r="C3974" t="s">
        <v>8516</v>
      </c>
      <c r="D3974" t="s">
        <v>811</v>
      </c>
      <c r="E3974" t="s">
        <v>8517</v>
      </c>
      <c r="F3974" t="str">
        <f>"00398756"</f>
        <v>00398756</v>
      </c>
      <c r="G3974" t="s">
        <v>520</v>
      </c>
      <c r="H3974" t="s">
        <v>20</v>
      </c>
      <c r="I3974">
        <v>1540</v>
      </c>
      <c r="J3974" t="s">
        <v>21</v>
      </c>
      <c r="K3974">
        <v>0</v>
      </c>
      <c r="L3974" t="s">
        <v>35</v>
      </c>
      <c r="M3974">
        <v>987</v>
      </c>
    </row>
    <row r="3975" spans="1:13">
      <c r="A3975">
        <v>3969</v>
      </c>
      <c r="B3975">
        <v>109045</v>
      </c>
      <c r="C3975" t="s">
        <v>8518</v>
      </c>
      <c r="D3975" t="s">
        <v>65</v>
      </c>
      <c r="E3975" t="s">
        <v>8519</v>
      </c>
      <c r="F3975" t="str">
        <f>"00416504"</f>
        <v>00416504</v>
      </c>
      <c r="G3975" t="s">
        <v>1160</v>
      </c>
      <c r="H3975" t="s">
        <v>20</v>
      </c>
      <c r="I3975">
        <v>1424</v>
      </c>
      <c r="J3975" t="s">
        <v>21</v>
      </c>
      <c r="K3975">
        <v>0</v>
      </c>
      <c r="M3975">
        <v>1588</v>
      </c>
    </row>
    <row r="3976" spans="1:13">
      <c r="A3976">
        <v>3970</v>
      </c>
      <c r="B3976">
        <v>114245</v>
      </c>
      <c r="C3976" t="s">
        <v>8520</v>
      </c>
      <c r="D3976" t="s">
        <v>811</v>
      </c>
      <c r="E3976" t="s">
        <v>8521</v>
      </c>
      <c r="F3976" t="str">
        <f>"00385613"</f>
        <v>00385613</v>
      </c>
      <c r="G3976" t="s">
        <v>211</v>
      </c>
      <c r="H3976" t="s">
        <v>20</v>
      </c>
      <c r="I3976">
        <v>1539</v>
      </c>
      <c r="J3976" t="s">
        <v>21</v>
      </c>
      <c r="K3976">
        <v>0</v>
      </c>
      <c r="L3976" t="s">
        <v>35</v>
      </c>
      <c r="M3976">
        <v>1108</v>
      </c>
    </row>
    <row r="3977" spans="1:13">
      <c r="A3977">
        <v>3971</v>
      </c>
      <c r="B3977">
        <v>51170</v>
      </c>
      <c r="C3977" t="s">
        <v>8522</v>
      </c>
      <c r="D3977" t="s">
        <v>121</v>
      </c>
      <c r="E3977" t="s">
        <v>8523</v>
      </c>
      <c r="F3977" t="str">
        <f>"00075067"</f>
        <v>00075067</v>
      </c>
      <c r="G3977" t="s">
        <v>47</v>
      </c>
      <c r="H3977" t="s">
        <v>48</v>
      </c>
      <c r="I3977">
        <v>1623</v>
      </c>
      <c r="J3977" t="s">
        <v>21</v>
      </c>
      <c r="K3977">
        <v>0</v>
      </c>
      <c r="M3977">
        <v>1338</v>
      </c>
    </row>
    <row r="3978" spans="1:13">
      <c r="A3978">
        <v>3972</v>
      </c>
      <c r="B3978">
        <v>50094</v>
      </c>
      <c r="C3978" t="s">
        <v>8524</v>
      </c>
      <c r="D3978" t="s">
        <v>121</v>
      </c>
      <c r="E3978" t="s">
        <v>8525</v>
      </c>
      <c r="F3978" t="str">
        <f>"00355801"</f>
        <v>00355801</v>
      </c>
      <c r="G3978" t="s">
        <v>709</v>
      </c>
      <c r="H3978" t="s">
        <v>20</v>
      </c>
      <c r="I3978">
        <v>1413</v>
      </c>
      <c r="J3978" t="s">
        <v>21</v>
      </c>
      <c r="K3978">
        <v>0</v>
      </c>
      <c r="M3978">
        <v>1528</v>
      </c>
    </row>
    <row r="3979" spans="1:13">
      <c r="A3979">
        <v>3973</v>
      </c>
      <c r="B3979">
        <v>101452</v>
      </c>
      <c r="C3979" t="s">
        <v>8526</v>
      </c>
      <c r="D3979" t="s">
        <v>288</v>
      </c>
      <c r="E3979" t="s">
        <v>8527</v>
      </c>
      <c r="F3979" t="str">
        <f>"00373759"</f>
        <v>00373759</v>
      </c>
      <c r="G3979" t="s">
        <v>352</v>
      </c>
      <c r="H3979" t="s">
        <v>20</v>
      </c>
      <c r="I3979">
        <v>1471</v>
      </c>
      <c r="J3979" t="s">
        <v>21</v>
      </c>
      <c r="K3979">
        <v>0</v>
      </c>
      <c r="L3979" t="s">
        <v>35</v>
      </c>
      <c r="M3979">
        <v>922</v>
      </c>
    </row>
    <row r="3980" spans="1:13">
      <c r="A3980">
        <v>3974</v>
      </c>
      <c r="B3980">
        <v>58609</v>
      </c>
      <c r="C3980" t="s">
        <v>8526</v>
      </c>
      <c r="D3980" t="s">
        <v>105</v>
      </c>
      <c r="E3980" t="s">
        <v>8528</v>
      </c>
      <c r="F3980" t="str">
        <f>"00364302"</f>
        <v>00364302</v>
      </c>
      <c r="G3980" t="s">
        <v>47</v>
      </c>
      <c r="H3980" t="s">
        <v>48</v>
      </c>
      <c r="I3980">
        <v>1623</v>
      </c>
      <c r="J3980" t="s">
        <v>21</v>
      </c>
      <c r="K3980">
        <v>0</v>
      </c>
      <c r="L3980" t="s">
        <v>35</v>
      </c>
      <c r="M3980">
        <v>870</v>
      </c>
    </row>
    <row r="3981" spans="1:13">
      <c r="A3981">
        <v>3975</v>
      </c>
      <c r="B3981">
        <v>65278</v>
      </c>
      <c r="C3981" t="s">
        <v>8529</v>
      </c>
      <c r="D3981" t="s">
        <v>243</v>
      </c>
      <c r="E3981" t="s">
        <v>8530</v>
      </c>
      <c r="F3981" t="str">
        <f>"00249280"</f>
        <v>00249280</v>
      </c>
      <c r="G3981" t="s">
        <v>178</v>
      </c>
      <c r="H3981" t="s">
        <v>20</v>
      </c>
      <c r="I3981">
        <v>1519</v>
      </c>
      <c r="J3981" t="s">
        <v>21</v>
      </c>
      <c r="K3981">
        <v>0</v>
      </c>
      <c r="L3981" t="s">
        <v>88</v>
      </c>
      <c r="M3981">
        <v>700</v>
      </c>
    </row>
    <row r="3982" spans="1:13">
      <c r="A3982">
        <v>3976</v>
      </c>
      <c r="B3982">
        <v>52450</v>
      </c>
      <c r="C3982" t="s">
        <v>8531</v>
      </c>
      <c r="D3982" t="s">
        <v>90</v>
      </c>
      <c r="E3982" t="s">
        <v>8532</v>
      </c>
      <c r="F3982" t="str">
        <f>"00328395"</f>
        <v>00328395</v>
      </c>
      <c r="G3982" t="s">
        <v>19</v>
      </c>
      <c r="H3982" t="s">
        <v>20</v>
      </c>
      <c r="I3982">
        <v>1531</v>
      </c>
      <c r="J3982" t="s">
        <v>21</v>
      </c>
      <c r="K3982">
        <v>0</v>
      </c>
      <c r="M3982">
        <v>1518</v>
      </c>
    </row>
    <row r="3983" spans="1:13">
      <c r="A3983">
        <v>3977</v>
      </c>
      <c r="B3983">
        <v>74618</v>
      </c>
      <c r="C3983" t="s">
        <v>8533</v>
      </c>
      <c r="D3983" t="s">
        <v>76</v>
      </c>
      <c r="E3983" t="s">
        <v>8534</v>
      </c>
      <c r="F3983" t="str">
        <f>"201511043263"</f>
        <v>201511043263</v>
      </c>
      <c r="G3983" t="s">
        <v>1995</v>
      </c>
      <c r="H3983" t="s">
        <v>20</v>
      </c>
      <c r="I3983">
        <v>1508</v>
      </c>
      <c r="J3983" t="s">
        <v>21</v>
      </c>
      <c r="K3983">
        <v>0</v>
      </c>
      <c r="L3983" t="s">
        <v>35</v>
      </c>
      <c r="M3983">
        <v>1006</v>
      </c>
    </row>
    <row r="3984" spans="1:13">
      <c r="A3984">
        <v>3978</v>
      </c>
      <c r="B3984">
        <v>114370</v>
      </c>
      <c r="C3984" t="s">
        <v>8535</v>
      </c>
      <c r="D3984" t="s">
        <v>218</v>
      </c>
      <c r="E3984" t="s">
        <v>8536</v>
      </c>
      <c r="F3984" t="str">
        <f>"00422204"</f>
        <v>00422204</v>
      </c>
      <c r="G3984" t="s">
        <v>365</v>
      </c>
      <c r="H3984" t="s">
        <v>366</v>
      </c>
      <c r="I3984">
        <v>1692</v>
      </c>
      <c r="J3984" t="s">
        <v>21</v>
      </c>
      <c r="K3984">
        <v>0</v>
      </c>
      <c r="L3984" t="s">
        <v>59</v>
      </c>
      <c r="M3984">
        <v>1021</v>
      </c>
    </row>
    <row r="3985" spans="1:13">
      <c r="A3985">
        <v>3979</v>
      </c>
      <c r="B3985">
        <v>97426</v>
      </c>
      <c r="C3985" t="s">
        <v>8537</v>
      </c>
      <c r="D3985" t="s">
        <v>243</v>
      </c>
      <c r="E3985" t="s">
        <v>8538</v>
      </c>
      <c r="F3985" t="str">
        <f>"00035988"</f>
        <v>00035988</v>
      </c>
      <c r="G3985" t="s">
        <v>763</v>
      </c>
      <c r="H3985" t="s">
        <v>274</v>
      </c>
      <c r="I3985">
        <v>1381</v>
      </c>
      <c r="J3985" t="s">
        <v>21</v>
      </c>
      <c r="K3985">
        <v>0</v>
      </c>
      <c r="L3985" t="s">
        <v>35</v>
      </c>
      <c r="M3985">
        <v>1333</v>
      </c>
    </row>
    <row r="3986" spans="1:13">
      <c r="A3986">
        <v>3980</v>
      </c>
      <c r="B3986">
        <v>100873</v>
      </c>
      <c r="C3986" t="s">
        <v>8539</v>
      </c>
      <c r="D3986" t="s">
        <v>80</v>
      </c>
      <c r="E3986" t="s">
        <v>8540</v>
      </c>
      <c r="F3986" t="str">
        <f>"00234027"</f>
        <v>00234027</v>
      </c>
      <c r="G3986" t="s">
        <v>111</v>
      </c>
      <c r="H3986" t="s">
        <v>48</v>
      </c>
      <c r="I3986">
        <v>1620</v>
      </c>
      <c r="J3986" t="s">
        <v>21</v>
      </c>
      <c r="K3986">
        <v>0</v>
      </c>
      <c r="L3986" t="s">
        <v>35</v>
      </c>
      <c r="M3986">
        <v>886</v>
      </c>
    </row>
    <row r="3987" spans="1:13">
      <c r="A3987">
        <v>3981</v>
      </c>
      <c r="B3987">
        <v>86670</v>
      </c>
      <c r="C3987" t="s">
        <v>8541</v>
      </c>
      <c r="D3987" t="s">
        <v>905</v>
      </c>
      <c r="E3987" t="s">
        <v>8542</v>
      </c>
      <c r="F3987" t="str">
        <f>"00400484"</f>
        <v>00400484</v>
      </c>
      <c r="G3987" t="s">
        <v>733</v>
      </c>
      <c r="H3987" t="s">
        <v>734</v>
      </c>
      <c r="I3987">
        <v>1596</v>
      </c>
      <c r="J3987" t="s">
        <v>21</v>
      </c>
      <c r="K3987">
        <v>0</v>
      </c>
      <c r="M3987">
        <v>1388</v>
      </c>
    </row>
    <row r="3988" spans="1:13">
      <c r="A3988">
        <v>3982</v>
      </c>
      <c r="B3988">
        <v>85018</v>
      </c>
      <c r="C3988" t="s">
        <v>8543</v>
      </c>
      <c r="D3988" t="s">
        <v>76</v>
      </c>
      <c r="E3988" t="s">
        <v>8544</v>
      </c>
      <c r="F3988" t="str">
        <f>"00390877"</f>
        <v>00390877</v>
      </c>
      <c r="G3988" t="s">
        <v>520</v>
      </c>
      <c r="H3988" t="s">
        <v>20</v>
      </c>
      <c r="I3988">
        <v>1540</v>
      </c>
      <c r="J3988" t="s">
        <v>21</v>
      </c>
      <c r="K3988">
        <v>0</v>
      </c>
      <c r="L3988" t="s">
        <v>83</v>
      </c>
      <c r="M3988">
        <v>1228</v>
      </c>
    </row>
    <row r="3989" spans="1:13">
      <c r="A3989">
        <v>3983</v>
      </c>
      <c r="B3989">
        <v>69499</v>
      </c>
      <c r="C3989" t="s">
        <v>8545</v>
      </c>
      <c r="D3989" t="s">
        <v>905</v>
      </c>
      <c r="E3989" t="s">
        <v>8546</v>
      </c>
      <c r="F3989" t="str">
        <f>"201511015690"</f>
        <v>201511015690</v>
      </c>
      <c r="G3989" t="s">
        <v>856</v>
      </c>
      <c r="H3989" t="s">
        <v>857</v>
      </c>
      <c r="I3989">
        <v>1661</v>
      </c>
      <c r="J3989" t="s">
        <v>21</v>
      </c>
      <c r="K3989">
        <v>0</v>
      </c>
      <c r="L3989" t="s">
        <v>35</v>
      </c>
      <c r="M3989">
        <v>957</v>
      </c>
    </row>
    <row r="3990" spans="1:13">
      <c r="A3990">
        <v>3984</v>
      </c>
      <c r="B3990">
        <v>85509</v>
      </c>
      <c r="C3990" t="s">
        <v>8547</v>
      </c>
      <c r="D3990" t="s">
        <v>288</v>
      </c>
      <c r="E3990" t="s">
        <v>8548</v>
      </c>
      <c r="F3990" t="str">
        <f>"00253028"</f>
        <v>00253028</v>
      </c>
      <c r="G3990" t="s">
        <v>502</v>
      </c>
      <c r="H3990" t="s">
        <v>503</v>
      </c>
      <c r="I3990">
        <v>1359</v>
      </c>
      <c r="J3990" t="s">
        <v>21</v>
      </c>
      <c r="K3990">
        <v>0</v>
      </c>
      <c r="L3990" t="s">
        <v>35</v>
      </c>
      <c r="M3990">
        <v>1008</v>
      </c>
    </row>
    <row r="3991" spans="1:13">
      <c r="A3991">
        <v>3985</v>
      </c>
      <c r="B3991">
        <v>75619</v>
      </c>
      <c r="C3991" t="s">
        <v>8549</v>
      </c>
      <c r="D3991" t="s">
        <v>1474</v>
      </c>
      <c r="E3991" t="s">
        <v>8550</v>
      </c>
      <c r="F3991" t="str">
        <f>"00379741"</f>
        <v>00379741</v>
      </c>
      <c r="G3991" t="s">
        <v>375</v>
      </c>
      <c r="H3991" t="s">
        <v>20</v>
      </c>
      <c r="I3991">
        <v>1516</v>
      </c>
      <c r="J3991" t="s">
        <v>21</v>
      </c>
      <c r="K3991">
        <v>0</v>
      </c>
      <c r="L3991" t="s">
        <v>35</v>
      </c>
      <c r="M3991">
        <v>1108</v>
      </c>
    </row>
    <row r="3992" spans="1:13">
      <c r="A3992">
        <v>3986</v>
      </c>
      <c r="B3992">
        <v>71176</v>
      </c>
      <c r="C3992" t="s">
        <v>8551</v>
      </c>
      <c r="D3992" t="s">
        <v>76</v>
      </c>
      <c r="E3992" t="s">
        <v>8552</v>
      </c>
      <c r="F3992" t="str">
        <f>"00208384"</f>
        <v>00208384</v>
      </c>
      <c r="G3992" t="s">
        <v>107</v>
      </c>
      <c r="H3992" t="s">
        <v>20</v>
      </c>
      <c r="I3992">
        <v>1472</v>
      </c>
      <c r="J3992" t="s">
        <v>21</v>
      </c>
      <c r="K3992">
        <v>0</v>
      </c>
      <c r="L3992" t="s">
        <v>35</v>
      </c>
      <c r="M3992">
        <v>908</v>
      </c>
    </row>
    <row r="3993" spans="1:13">
      <c r="A3993">
        <v>3987</v>
      </c>
      <c r="B3993">
        <v>77046</v>
      </c>
      <c r="C3993" t="s">
        <v>8553</v>
      </c>
      <c r="D3993" t="s">
        <v>65</v>
      </c>
      <c r="E3993" t="s">
        <v>8554</v>
      </c>
      <c r="F3993" t="str">
        <f>"00393046"</f>
        <v>00393046</v>
      </c>
      <c r="G3993" t="s">
        <v>207</v>
      </c>
      <c r="H3993" t="s">
        <v>20</v>
      </c>
      <c r="I3993">
        <v>1560</v>
      </c>
      <c r="J3993" t="s">
        <v>21</v>
      </c>
      <c r="K3993">
        <v>6</v>
      </c>
      <c r="M3993">
        <v>1788</v>
      </c>
    </row>
    <row r="3994" spans="1:13">
      <c r="A3994">
        <v>3988</v>
      </c>
      <c r="B3994">
        <v>66595</v>
      </c>
      <c r="C3994" t="s">
        <v>8555</v>
      </c>
      <c r="D3994" t="s">
        <v>373</v>
      </c>
      <c r="E3994" t="s">
        <v>8556</v>
      </c>
      <c r="F3994" t="str">
        <f>"00395293"</f>
        <v>00395293</v>
      </c>
      <c r="G3994" t="s">
        <v>2081</v>
      </c>
      <c r="H3994" t="s">
        <v>20</v>
      </c>
      <c r="I3994">
        <v>1417</v>
      </c>
      <c r="J3994" t="s">
        <v>21</v>
      </c>
      <c r="K3994">
        <v>0</v>
      </c>
      <c r="L3994" t="s">
        <v>59</v>
      </c>
      <c r="M3994">
        <v>1016</v>
      </c>
    </row>
    <row r="3995" spans="1:13">
      <c r="A3995">
        <v>3989</v>
      </c>
      <c r="B3995">
        <v>93518</v>
      </c>
      <c r="C3995" t="s">
        <v>8557</v>
      </c>
      <c r="D3995" t="s">
        <v>8558</v>
      </c>
      <c r="E3995" t="s">
        <v>8559</v>
      </c>
      <c r="F3995" t="str">
        <f>"00076644"</f>
        <v>00076644</v>
      </c>
      <c r="G3995" t="s">
        <v>600</v>
      </c>
      <c r="H3995" t="s">
        <v>366</v>
      </c>
      <c r="I3995">
        <v>1694</v>
      </c>
      <c r="J3995" t="s">
        <v>21</v>
      </c>
      <c r="K3995">
        <v>0</v>
      </c>
      <c r="L3995" t="s">
        <v>35</v>
      </c>
      <c r="M3995">
        <v>885</v>
      </c>
    </row>
    <row r="3996" spans="1:13">
      <c r="A3996">
        <v>3990</v>
      </c>
      <c r="B3996">
        <v>58710</v>
      </c>
      <c r="C3996" t="s">
        <v>8560</v>
      </c>
      <c r="D3996" t="s">
        <v>566</v>
      </c>
      <c r="E3996" t="s">
        <v>8561</v>
      </c>
      <c r="F3996" t="str">
        <f>"00221138"</f>
        <v>00221138</v>
      </c>
      <c r="G3996" t="s">
        <v>19</v>
      </c>
      <c r="H3996" t="s">
        <v>20</v>
      </c>
      <c r="I3996">
        <v>1531</v>
      </c>
      <c r="J3996" t="s">
        <v>21</v>
      </c>
      <c r="K3996">
        <v>0</v>
      </c>
      <c r="L3996" t="s">
        <v>35</v>
      </c>
      <c r="M3996">
        <v>985</v>
      </c>
    </row>
    <row r="3997" spans="1:13">
      <c r="A3997">
        <v>3991</v>
      </c>
      <c r="B3997">
        <v>63806</v>
      </c>
      <c r="C3997" t="s">
        <v>8562</v>
      </c>
      <c r="D3997" t="s">
        <v>566</v>
      </c>
      <c r="E3997" t="s">
        <v>8563</v>
      </c>
      <c r="F3997" t="str">
        <f>"00221119"</f>
        <v>00221119</v>
      </c>
      <c r="G3997" t="s">
        <v>19</v>
      </c>
      <c r="H3997" t="s">
        <v>20</v>
      </c>
      <c r="I3997">
        <v>1531</v>
      </c>
      <c r="J3997" t="s">
        <v>21</v>
      </c>
      <c r="K3997">
        <v>0</v>
      </c>
      <c r="M3997">
        <v>1488</v>
      </c>
    </row>
    <row r="3998" spans="1:13">
      <c r="A3998">
        <v>3992</v>
      </c>
      <c r="B3998">
        <v>50283</v>
      </c>
      <c r="C3998" t="s">
        <v>8564</v>
      </c>
      <c r="D3998" t="s">
        <v>102</v>
      </c>
      <c r="E3998" t="s">
        <v>8565</v>
      </c>
      <c r="F3998" t="str">
        <f>"00359878"</f>
        <v>00359878</v>
      </c>
      <c r="G3998" t="s">
        <v>47</v>
      </c>
      <c r="H3998" t="s">
        <v>48</v>
      </c>
      <c r="I3998">
        <v>1623</v>
      </c>
      <c r="J3998" t="s">
        <v>21</v>
      </c>
      <c r="K3998">
        <v>0</v>
      </c>
      <c r="M3998">
        <v>1388</v>
      </c>
    </row>
    <row r="3999" spans="1:13">
      <c r="A3999">
        <v>3993</v>
      </c>
      <c r="B3999">
        <v>77035</v>
      </c>
      <c r="C3999" t="s">
        <v>8566</v>
      </c>
      <c r="D3999" t="s">
        <v>153</v>
      </c>
      <c r="E3999" t="s">
        <v>8567</v>
      </c>
      <c r="F3999" t="str">
        <f>"00015649"</f>
        <v>00015649</v>
      </c>
      <c r="G3999" t="s">
        <v>203</v>
      </c>
      <c r="H3999" t="s">
        <v>20</v>
      </c>
      <c r="I3999">
        <v>1476</v>
      </c>
      <c r="J3999" t="s">
        <v>21</v>
      </c>
      <c r="K3999">
        <v>6</v>
      </c>
      <c r="L3999" t="s">
        <v>35</v>
      </c>
      <c r="M3999">
        <v>836</v>
      </c>
    </row>
    <row r="4000" spans="1:13">
      <c r="A4000">
        <v>3994</v>
      </c>
      <c r="B4000">
        <v>56760</v>
      </c>
      <c r="C4000" t="s">
        <v>8568</v>
      </c>
      <c r="D4000" t="s">
        <v>121</v>
      </c>
      <c r="E4000" t="s">
        <v>8569</v>
      </c>
      <c r="F4000" t="str">
        <f>"00269946"</f>
        <v>00269946</v>
      </c>
      <c r="G4000" t="s">
        <v>375</v>
      </c>
      <c r="H4000" t="s">
        <v>20</v>
      </c>
      <c r="I4000">
        <v>1516</v>
      </c>
      <c r="J4000" t="s">
        <v>21</v>
      </c>
      <c r="K4000">
        <v>0</v>
      </c>
      <c r="L4000" t="s">
        <v>35</v>
      </c>
      <c r="M4000">
        <v>1100</v>
      </c>
    </row>
    <row r="4001" spans="1:13">
      <c r="A4001">
        <v>3995</v>
      </c>
      <c r="B4001">
        <v>94149</v>
      </c>
      <c r="C4001" t="s">
        <v>8570</v>
      </c>
      <c r="D4001" t="s">
        <v>65</v>
      </c>
      <c r="E4001" t="s">
        <v>8571</v>
      </c>
      <c r="F4001" t="str">
        <f>"00402138"</f>
        <v>00402138</v>
      </c>
      <c r="G4001" t="s">
        <v>709</v>
      </c>
      <c r="H4001" t="s">
        <v>20</v>
      </c>
      <c r="I4001">
        <v>1413</v>
      </c>
      <c r="J4001" t="s">
        <v>21</v>
      </c>
      <c r="K4001">
        <v>0</v>
      </c>
      <c r="L4001" t="s">
        <v>35</v>
      </c>
      <c r="M4001">
        <v>875</v>
      </c>
    </row>
    <row r="4002" spans="1:13">
      <c r="A4002">
        <v>3996</v>
      </c>
      <c r="B4002">
        <v>50773</v>
      </c>
      <c r="C4002" t="s">
        <v>8572</v>
      </c>
      <c r="D4002" t="s">
        <v>624</v>
      </c>
      <c r="E4002" t="s">
        <v>8573</v>
      </c>
      <c r="F4002" t="str">
        <f>"00257755"</f>
        <v>00257755</v>
      </c>
      <c r="G4002" t="s">
        <v>47</v>
      </c>
      <c r="H4002" t="s">
        <v>48</v>
      </c>
      <c r="I4002">
        <v>1623</v>
      </c>
      <c r="J4002" t="s">
        <v>21</v>
      </c>
      <c r="K4002">
        <v>0</v>
      </c>
      <c r="L4002" t="s">
        <v>59</v>
      </c>
      <c r="M4002">
        <v>1188</v>
      </c>
    </row>
    <row r="4003" spans="1:13">
      <c r="A4003">
        <v>3997</v>
      </c>
      <c r="B4003">
        <v>89891</v>
      </c>
      <c r="C4003" t="s">
        <v>8574</v>
      </c>
      <c r="D4003" t="s">
        <v>121</v>
      </c>
      <c r="E4003" t="s">
        <v>8575</v>
      </c>
      <c r="F4003" t="str">
        <f>"00111501"</f>
        <v>00111501</v>
      </c>
      <c r="G4003" t="s">
        <v>150</v>
      </c>
      <c r="H4003" t="s">
        <v>151</v>
      </c>
      <c r="I4003">
        <v>1699</v>
      </c>
      <c r="J4003" t="s">
        <v>21</v>
      </c>
      <c r="K4003">
        <v>0</v>
      </c>
      <c r="L4003" t="s">
        <v>88</v>
      </c>
      <c r="M4003">
        <v>475</v>
      </c>
    </row>
    <row r="4004" spans="1:13">
      <c r="A4004">
        <v>3998</v>
      </c>
      <c r="B4004">
        <v>70741</v>
      </c>
      <c r="C4004" t="s">
        <v>8576</v>
      </c>
      <c r="D4004" t="s">
        <v>76</v>
      </c>
      <c r="E4004" t="s">
        <v>8577</v>
      </c>
      <c r="F4004" t="str">
        <f>"00354629"</f>
        <v>00354629</v>
      </c>
      <c r="G4004" t="s">
        <v>465</v>
      </c>
      <c r="H4004" t="s">
        <v>20</v>
      </c>
      <c r="I4004">
        <v>1534</v>
      </c>
      <c r="J4004" t="s">
        <v>21</v>
      </c>
      <c r="K4004">
        <v>0</v>
      </c>
      <c r="L4004" t="s">
        <v>35</v>
      </c>
      <c r="M4004">
        <v>900</v>
      </c>
    </row>
    <row r="4005" spans="1:13">
      <c r="A4005">
        <v>3999</v>
      </c>
      <c r="B4005">
        <v>66481</v>
      </c>
      <c r="C4005" t="s">
        <v>8578</v>
      </c>
      <c r="D4005" t="s">
        <v>102</v>
      </c>
      <c r="E4005" t="s">
        <v>8579</v>
      </c>
      <c r="F4005" t="str">
        <f>"00366061"</f>
        <v>00366061</v>
      </c>
      <c r="G4005" t="s">
        <v>3969</v>
      </c>
      <c r="H4005" t="s">
        <v>20</v>
      </c>
      <c r="I4005">
        <v>1517</v>
      </c>
      <c r="J4005" t="s">
        <v>21</v>
      </c>
      <c r="K4005">
        <v>0</v>
      </c>
      <c r="L4005" t="s">
        <v>59</v>
      </c>
      <c r="M4005">
        <v>1245</v>
      </c>
    </row>
    <row r="4006" spans="1:13">
      <c r="A4006">
        <v>4000</v>
      </c>
      <c r="B4006">
        <v>77899</v>
      </c>
      <c r="C4006" t="s">
        <v>8580</v>
      </c>
      <c r="D4006" t="s">
        <v>321</v>
      </c>
      <c r="E4006" t="s">
        <v>8581</v>
      </c>
      <c r="F4006" t="str">
        <f>"00036627"</f>
        <v>00036627</v>
      </c>
      <c r="G4006" t="s">
        <v>47</v>
      </c>
      <c r="H4006" t="s">
        <v>48</v>
      </c>
      <c r="I4006">
        <v>1623</v>
      </c>
      <c r="J4006" t="s">
        <v>21</v>
      </c>
      <c r="K4006">
        <v>0</v>
      </c>
      <c r="L4006" t="s">
        <v>88</v>
      </c>
      <c r="M4006">
        <v>536</v>
      </c>
    </row>
    <row r="4007" spans="1:13">
      <c r="A4007">
        <v>4001</v>
      </c>
      <c r="B4007">
        <v>74338</v>
      </c>
      <c r="C4007" t="s">
        <v>8582</v>
      </c>
      <c r="D4007" t="s">
        <v>130</v>
      </c>
      <c r="E4007" t="s">
        <v>8583</v>
      </c>
      <c r="F4007" t="str">
        <f>"00069871"</f>
        <v>00069871</v>
      </c>
      <c r="G4007" t="s">
        <v>38</v>
      </c>
      <c r="H4007" t="s">
        <v>39</v>
      </c>
      <c r="I4007">
        <v>1634</v>
      </c>
      <c r="J4007" t="s">
        <v>21</v>
      </c>
      <c r="K4007">
        <v>6</v>
      </c>
      <c r="L4007" t="s">
        <v>59</v>
      </c>
      <c r="M4007">
        <v>460</v>
      </c>
    </row>
    <row r="4008" spans="1:13">
      <c r="A4008">
        <v>4002</v>
      </c>
      <c r="B4008">
        <v>78117</v>
      </c>
      <c r="C4008" t="s">
        <v>8584</v>
      </c>
      <c r="D4008" t="s">
        <v>130</v>
      </c>
      <c r="E4008" t="s">
        <v>8585</v>
      </c>
      <c r="F4008" t="str">
        <f>"00375092"</f>
        <v>00375092</v>
      </c>
      <c r="G4008" t="s">
        <v>38</v>
      </c>
      <c r="H4008" t="s">
        <v>39</v>
      </c>
      <c r="I4008">
        <v>1634</v>
      </c>
      <c r="J4008" t="s">
        <v>21</v>
      </c>
      <c r="K4008">
        <v>6</v>
      </c>
      <c r="L4008" t="s">
        <v>35</v>
      </c>
      <c r="M4008">
        <v>708</v>
      </c>
    </row>
    <row r="4009" spans="1:13">
      <c r="A4009">
        <v>4003</v>
      </c>
      <c r="B4009">
        <v>101427</v>
      </c>
      <c r="C4009" t="s">
        <v>8586</v>
      </c>
      <c r="D4009" t="s">
        <v>90</v>
      </c>
      <c r="E4009" t="s">
        <v>8587</v>
      </c>
      <c r="F4009" t="str">
        <f>"00398374"</f>
        <v>00398374</v>
      </c>
      <c r="G4009" t="s">
        <v>125</v>
      </c>
      <c r="H4009" t="s">
        <v>20</v>
      </c>
      <c r="I4009">
        <v>1507</v>
      </c>
      <c r="J4009" t="s">
        <v>21</v>
      </c>
      <c r="K4009">
        <v>0</v>
      </c>
      <c r="L4009" t="s">
        <v>35</v>
      </c>
      <c r="M4009">
        <v>958</v>
      </c>
    </row>
    <row r="4010" spans="1:13">
      <c r="A4010">
        <v>4004</v>
      </c>
      <c r="B4010">
        <v>76458</v>
      </c>
      <c r="C4010" t="s">
        <v>8588</v>
      </c>
      <c r="D4010" t="s">
        <v>94</v>
      </c>
      <c r="E4010" t="s">
        <v>8589</v>
      </c>
      <c r="F4010" t="str">
        <f>"00280364"</f>
        <v>00280364</v>
      </c>
      <c r="G4010" t="s">
        <v>70</v>
      </c>
      <c r="H4010" t="s">
        <v>71</v>
      </c>
      <c r="I4010">
        <v>1702</v>
      </c>
      <c r="J4010" t="s">
        <v>21</v>
      </c>
      <c r="K4010">
        <v>0</v>
      </c>
      <c r="M4010">
        <v>1528</v>
      </c>
    </row>
    <row r="4011" spans="1:13">
      <c r="A4011">
        <v>4005</v>
      </c>
      <c r="B4011">
        <v>109178</v>
      </c>
      <c r="C4011" t="s">
        <v>8590</v>
      </c>
      <c r="D4011" t="s">
        <v>90</v>
      </c>
      <c r="E4011" t="s">
        <v>8591</v>
      </c>
      <c r="F4011" t="str">
        <f>"00416651"</f>
        <v>00416651</v>
      </c>
      <c r="G4011" t="s">
        <v>856</v>
      </c>
      <c r="H4011" t="s">
        <v>366</v>
      </c>
      <c r="I4011">
        <v>1706</v>
      </c>
      <c r="J4011" t="s">
        <v>21</v>
      </c>
      <c r="K4011">
        <v>0</v>
      </c>
      <c r="M4011">
        <v>1362</v>
      </c>
    </row>
    <row r="4012" spans="1:13">
      <c r="A4012">
        <v>4006</v>
      </c>
      <c r="B4012">
        <v>99115</v>
      </c>
      <c r="C4012" t="s">
        <v>8592</v>
      </c>
      <c r="D4012" t="s">
        <v>334</v>
      </c>
      <c r="E4012" t="s">
        <v>8593</v>
      </c>
      <c r="F4012" t="str">
        <f>"00389702"</f>
        <v>00389702</v>
      </c>
      <c r="G4012" t="s">
        <v>299</v>
      </c>
      <c r="H4012" t="s">
        <v>20</v>
      </c>
      <c r="I4012">
        <v>1490</v>
      </c>
      <c r="J4012" t="s">
        <v>21</v>
      </c>
      <c r="K4012">
        <v>0</v>
      </c>
      <c r="M4012">
        <v>1338</v>
      </c>
    </row>
    <row r="4013" spans="1:13">
      <c r="A4013">
        <v>4007</v>
      </c>
      <c r="B4013">
        <v>82906</v>
      </c>
      <c r="C4013" t="s">
        <v>8594</v>
      </c>
      <c r="D4013" t="s">
        <v>105</v>
      </c>
      <c r="E4013" t="s">
        <v>8595</v>
      </c>
      <c r="F4013" t="str">
        <f>"00407967"</f>
        <v>00407967</v>
      </c>
      <c r="G4013" t="s">
        <v>258</v>
      </c>
      <c r="H4013" t="s">
        <v>20</v>
      </c>
      <c r="I4013">
        <v>1484</v>
      </c>
      <c r="J4013" t="s">
        <v>21</v>
      </c>
      <c r="K4013">
        <v>0</v>
      </c>
      <c r="M4013">
        <v>1371</v>
      </c>
    </row>
    <row r="4014" spans="1:13">
      <c r="A4014">
        <v>4008</v>
      </c>
      <c r="B4014">
        <v>49660</v>
      </c>
      <c r="C4014" t="s">
        <v>8596</v>
      </c>
      <c r="D4014" t="s">
        <v>5991</v>
      </c>
      <c r="E4014" t="s">
        <v>8597</v>
      </c>
      <c r="F4014" t="str">
        <f>"00347439"</f>
        <v>00347439</v>
      </c>
      <c r="G4014" t="s">
        <v>302</v>
      </c>
      <c r="H4014" t="s">
        <v>20</v>
      </c>
      <c r="I4014">
        <v>1494</v>
      </c>
      <c r="J4014" t="s">
        <v>21</v>
      </c>
      <c r="K4014">
        <v>0</v>
      </c>
      <c r="M4014">
        <v>1478</v>
      </c>
    </row>
    <row r="4015" spans="1:13">
      <c r="A4015">
        <v>4009</v>
      </c>
      <c r="B4015">
        <v>69844</v>
      </c>
      <c r="C4015" t="s">
        <v>8598</v>
      </c>
      <c r="D4015" t="s">
        <v>80</v>
      </c>
      <c r="E4015" t="s">
        <v>8599</v>
      </c>
      <c r="F4015" t="str">
        <f>"201105000036"</f>
        <v>201105000036</v>
      </c>
      <c r="G4015" t="s">
        <v>834</v>
      </c>
      <c r="H4015" t="s">
        <v>20</v>
      </c>
      <c r="I4015">
        <v>1416</v>
      </c>
      <c r="J4015" t="s">
        <v>21</v>
      </c>
      <c r="K4015">
        <v>0</v>
      </c>
      <c r="L4015" t="s">
        <v>35</v>
      </c>
      <c r="M4015">
        <v>945</v>
      </c>
    </row>
    <row r="4016" spans="1:13">
      <c r="A4016">
        <v>4010</v>
      </c>
      <c r="B4016">
        <v>89804</v>
      </c>
      <c r="C4016" t="s">
        <v>8600</v>
      </c>
      <c r="D4016" t="s">
        <v>121</v>
      </c>
      <c r="E4016" t="s">
        <v>8601</v>
      </c>
      <c r="F4016" t="str">
        <f>"00394867"</f>
        <v>00394867</v>
      </c>
      <c r="G4016" t="s">
        <v>1621</v>
      </c>
      <c r="H4016" t="s">
        <v>20</v>
      </c>
      <c r="I4016">
        <v>1524</v>
      </c>
      <c r="J4016" t="s">
        <v>21</v>
      </c>
      <c r="K4016">
        <v>6</v>
      </c>
      <c r="L4016" t="s">
        <v>35</v>
      </c>
      <c r="M4016">
        <v>604</v>
      </c>
    </row>
    <row r="4017" spans="1:13">
      <c r="A4017">
        <v>4011</v>
      </c>
      <c r="B4017">
        <v>56027</v>
      </c>
      <c r="C4017" t="s">
        <v>8602</v>
      </c>
      <c r="D4017" t="s">
        <v>213</v>
      </c>
      <c r="E4017" t="s">
        <v>8603</v>
      </c>
      <c r="F4017" t="str">
        <f>"00040709"</f>
        <v>00040709</v>
      </c>
      <c r="G4017" t="s">
        <v>150</v>
      </c>
      <c r="H4017" t="s">
        <v>151</v>
      </c>
      <c r="I4017">
        <v>1699</v>
      </c>
      <c r="J4017" t="s">
        <v>21</v>
      </c>
      <c r="K4017">
        <v>0</v>
      </c>
      <c r="L4017" t="s">
        <v>59</v>
      </c>
      <c r="M4017">
        <v>984</v>
      </c>
    </row>
    <row r="4018" spans="1:13">
      <c r="A4018">
        <v>4012</v>
      </c>
      <c r="B4018">
        <v>91488</v>
      </c>
      <c r="C4018" t="s">
        <v>8604</v>
      </c>
      <c r="D4018" t="s">
        <v>180</v>
      </c>
      <c r="E4018" t="s">
        <v>8605</v>
      </c>
      <c r="F4018" t="str">
        <f>"00378217"</f>
        <v>00378217</v>
      </c>
      <c r="G4018" t="s">
        <v>170</v>
      </c>
      <c r="H4018" t="s">
        <v>20</v>
      </c>
      <c r="I4018">
        <v>1412</v>
      </c>
      <c r="J4018" t="s">
        <v>21</v>
      </c>
      <c r="K4018">
        <v>0</v>
      </c>
      <c r="L4018" t="s">
        <v>88</v>
      </c>
      <c r="M4018">
        <v>500</v>
      </c>
    </row>
    <row r="4019" spans="1:13">
      <c r="A4019">
        <v>4013</v>
      </c>
      <c r="B4019">
        <v>63287</v>
      </c>
      <c r="C4019" t="s">
        <v>8606</v>
      </c>
      <c r="D4019" t="s">
        <v>76</v>
      </c>
      <c r="E4019" t="s">
        <v>8607</v>
      </c>
      <c r="F4019" t="str">
        <f>"00262112"</f>
        <v>00262112</v>
      </c>
      <c r="G4019" t="s">
        <v>150</v>
      </c>
      <c r="H4019" t="s">
        <v>151</v>
      </c>
      <c r="I4019">
        <v>1699</v>
      </c>
      <c r="J4019" t="s">
        <v>21</v>
      </c>
      <c r="K4019">
        <v>0</v>
      </c>
      <c r="L4019" t="s">
        <v>35</v>
      </c>
      <c r="M4019">
        <v>900</v>
      </c>
    </row>
    <row r="4020" spans="1:13">
      <c r="A4020">
        <v>4014</v>
      </c>
      <c r="B4020">
        <v>70852</v>
      </c>
      <c r="C4020" t="s">
        <v>8608</v>
      </c>
      <c r="D4020" t="s">
        <v>76</v>
      </c>
      <c r="E4020" t="s">
        <v>8609</v>
      </c>
      <c r="F4020" t="str">
        <f>"00382640"</f>
        <v>00382640</v>
      </c>
      <c r="G4020" t="s">
        <v>96</v>
      </c>
      <c r="H4020" t="s">
        <v>20</v>
      </c>
      <c r="I4020">
        <v>1474</v>
      </c>
      <c r="J4020" t="s">
        <v>21</v>
      </c>
      <c r="K4020">
        <v>0</v>
      </c>
      <c r="L4020" t="s">
        <v>35</v>
      </c>
      <c r="M4020">
        <v>1000</v>
      </c>
    </row>
    <row r="4021" spans="1:13">
      <c r="A4021">
        <v>4015</v>
      </c>
      <c r="B4021">
        <v>68981</v>
      </c>
      <c r="C4021" t="s">
        <v>8610</v>
      </c>
      <c r="D4021" t="s">
        <v>98</v>
      </c>
      <c r="E4021" t="s">
        <v>8611</v>
      </c>
      <c r="F4021" t="str">
        <f>"00384487"</f>
        <v>00384487</v>
      </c>
      <c r="G4021" t="s">
        <v>47</v>
      </c>
      <c r="H4021" t="s">
        <v>48</v>
      </c>
      <c r="I4021">
        <v>1623</v>
      </c>
      <c r="J4021" t="s">
        <v>21</v>
      </c>
      <c r="K4021">
        <v>0</v>
      </c>
      <c r="L4021" t="s">
        <v>59</v>
      </c>
      <c r="M4021">
        <v>962</v>
      </c>
    </row>
    <row r="4022" spans="1:13">
      <c r="A4022">
        <v>4016</v>
      </c>
      <c r="B4022">
        <v>83670</v>
      </c>
      <c r="C4022" t="s">
        <v>8612</v>
      </c>
      <c r="D4022" t="s">
        <v>8613</v>
      </c>
      <c r="E4022" t="s">
        <v>8614</v>
      </c>
      <c r="F4022" t="str">
        <f>"00292085"</f>
        <v>00292085</v>
      </c>
      <c r="G4022" t="s">
        <v>47</v>
      </c>
      <c r="H4022" t="s">
        <v>48</v>
      </c>
      <c r="I4022">
        <v>1623</v>
      </c>
      <c r="J4022" t="s">
        <v>21</v>
      </c>
      <c r="K4022">
        <v>0</v>
      </c>
      <c r="L4022" t="s">
        <v>35</v>
      </c>
      <c r="M4022">
        <v>900</v>
      </c>
    </row>
    <row r="4023" spans="1:13">
      <c r="A4023">
        <v>4017</v>
      </c>
      <c r="B4023">
        <v>114989</v>
      </c>
      <c r="C4023" t="s">
        <v>8615</v>
      </c>
      <c r="D4023" t="s">
        <v>80</v>
      </c>
      <c r="E4023" t="s">
        <v>8616</v>
      </c>
      <c r="F4023" t="str">
        <f>"00101218"</f>
        <v>00101218</v>
      </c>
      <c r="G4023" t="s">
        <v>446</v>
      </c>
      <c r="H4023" t="s">
        <v>137</v>
      </c>
      <c r="I4023">
        <v>1602</v>
      </c>
      <c r="J4023" t="s">
        <v>21</v>
      </c>
      <c r="K4023">
        <v>0</v>
      </c>
      <c r="L4023" t="s">
        <v>83</v>
      </c>
      <c r="M4023">
        <v>1188</v>
      </c>
    </row>
    <row r="4024" spans="1:13">
      <c r="A4024">
        <v>4018</v>
      </c>
      <c r="B4024">
        <v>102394</v>
      </c>
      <c r="C4024" t="s">
        <v>8617</v>
      </c>
      <c r="D4024" t="s">
        <v>391</v>
      </c>
      <c r="E4024" t="s">
        <v>8618</v>
      </c>
      <c r="F4024" t="str">
        <f>"00381465"</f>
        <v>00381465</v>
      </c>
      <c r="G4024" t="s">
        <v>1084</v>
      </c>
      <c r="H4024" t="s">
        <v>1085</v>
      </c>
      <c r="I4024">
        <v>1588</v>
      </c>
      <c r="J4024" t="s">
        <v>21</v>
      </c>
      <c r="K4024">
        <v>0</v>
      </c>
      <c r="M4024">
        <v>1338</v>
      </c>
    </row>
    <row r="4025" spans="1:13">
      <c r="A4025">
        <v>4019</v>
      </c>
      <c r="B4025">
        <v>113385</v>
      </c>
      <c r="C4025" t="s">
        <v>8619</v>
      </c>
      <c r="D4025" t="s">
        <v>198</v>
      </c>
      <c r="E4025" t="s">
        <v>8620</v>
      </c>
      <c r="F4025" t="str">
        <f>"00419062"</f>
        <v>00419062</v>
      </c>
      <c r="G4025" t="s">
        <v>1223</v>
      </c>
      <c r="H4025" t="s">
        <v>20</v>
      </c>
      <c r="I4025">
        <v>1405</v>
      </c>
      <c r="J4025" t="s">
        <v>21</v>
      </c>
      <c r="K4025">
        <v>0</v>
      </c>
      <c r="M4025">
        <v>1668</v>
      </c>
    </row>
    <row r="4026" spans="1:13">
      <c r="A4026">
        <v>4020</v>
      </c>
      <c r="B4026">
        <v>94072</v>
      </c>
      <c r="C4026" t="s">
        <v>8621</v>
      </c>
      <c r="D4026" t="s">
        <v>2929</v>
      </c>
      <c r="E4026" t="s">
        <v>8622</v>
      </c>
      <c r="F4026" t="str">
        <f>"00276924"</f>
        <v>00276924</v>
      </c>
      <c r="G4026" t="s">
        <v>2797</v>
      </c>
      <c r="H4026" t="s">
        <v>20</v>
      </c>
      <c r="I4026">
        <v>1487</v>
      </c>
      <c r="J4026" t="s">
        <v>21</v>
      </c>
      <c r="K4026">
        <v>6</v>
      </c>
      <c r="L4026" t="s">
        <v>35</v>
      </c>
      <c r="M4026">
        <v>908</v>
      </c>
    </row>
    <row r="4027" spans="1:13">
      <c r="A4027">
        <v>4021</v>
      </c>
      <c r="B4027">
        <v>73678</v>
      </c>
      <c r="C4027" t="s">
        <v>8623</v>
      </c>
      <c r="D4027" t="s">
        <v>94</v>
      </c>
      <c r="E4027" t="s">
        <v>8624</v>
      </c>
      <c r="F4027" t="str">
        <f>"00375481"</f>
        <v>00375481</v>
      </c>
      <c r="G4027" t="s">
        <v>488</v>
      </c>
      <c r="H4027" t="s">
        <v>20</v>
      </c>
      <c r="I4027">
        <v>1482</v>
      </c>
      <c r="J4027" t="s">
        <v>21</v>
      </c>
      <c r="K4027">
        <v>0</v>
      </c>
      <c r="L4027" t="s">
        <v>112</v>
      </c>
      <c r="M4027">
        <v>808</v>
      </c>
    </row>
    <row r="4028" spans="1:13">
      <c r="A4028">
        <v>4022</v>
      </c>
      <c r="B4028">
        <v>71207</v>
      </c>
      <c r="C4028" t="s">
        <v>8625</v>
      </c>
      <c r="D4028" t="s">
        <v>98</v>
      </c>
      <c r="E4028" t="s">
        <v>8626</v>
      </c>
      <c r="F4028" t="str">
        <f>"00038637"</f>
        <v>00038637</v>
      </c>
      <c r="G4028" t="s">
        <v>245</v>
      </c>
      <c r="H4028" t="s">
        <v>20</v>
      </c>
      <c r="I4028">
        <v>1406</v>
      </c>
      <c r="J4028" t="s">
        <v>21</v>
      </c>
      <c r="K4028">
        <v>0</v>
      </c>
      <c r="L4028" t="s">
        <v>35</v>
      </c>
      <c r="M4028">
        <v>940</v>
      </c>
    </row>
    <row r="4029" spans="1:13">
      <c r="A4029">
        <v>4023</v>
      </c>
      <c r="B4029">
        <v>59655</v>
      </c>
      <c r="C4029" t="s">
        <v>8627</v>
      </c>
      <c r="D4029" t="s">
        <v>209</v>
      </c>
      <c r="E4029" t="s">
        <v>8628</v>
      </c>
      <c r="F4029" t="str">
        <f>"00365366"</f>
        <v>00365366</v>
      </c>
      <c r="G4029" t="s">
        <v>5034</v>
      </c>
      <c r="H4029" t="s">
        <v>20</v>
      </c>
      <c r="I4029">
        <v>1554</v>
      </c>
      <c r="J4029" t="s">
        <v>21</v>
      </c>
      <c r="K4029">
        <v>6</v>
      </c>
      <c r="L4029" t="s">
        <v>35</v>
      </c>
      <c r="M4029">
        <v>683</v>
      </c>
    </row>
    <row r="4030" spans="1:13">
      <c r="A4030">
        <v>4024</v>
      </c>
      <c r="B4030">
        <v>80824</v>
      </c>
      <c r="C4030" t="s">
        <v>8629</v>
      </c>
      <c r="D4030" t="s">
        <v>260</v>
      </c>
      <c r="E4030" t="s">
        <v>8630</v>
      </c>
      <c r="F4030" t="str">
        <f>"00382734"</f>
        <v>00382734</v>
      </c>
      <c r="G4030" t="s">
        <v>721</v>
      </c>
      <c r="H4030" t="s">
        <v>20</v>
      </c>
      <c r="I4030">
        <v>1575</v>
      </c>
      <c r="J4030" t="s">
        <v>21</v>
      </c>
      <c r="K4030">
        <v>0</v>
      </c>
      <c r="L4030" t="s">
        <v>35</v>
      </c>
      <c r="M4030">
        <v>958</v>
      </c>
    </row>
    <row r="4031" spans="1:13">
      <c r="A4031">
        <v>4025</v>
      </c>
      <c r="B4031">
        <v>59820</v>
      </c>
      <c r="C4031" t="s">
        <v>8631</v>
      </c>
      <c r="D4031" t="s">
        <v>80</v>
      </c>
      <c r="E4031" t="s">
        <v>8632</v>
      </c>
      <c r="F4031" t="str">
        <f>"00366890"</f>
        <v>00366890</v>
      </c>
      <c r="G4031" t="s">
        <v>211</v>
      </c>
      <c r="H4031" t="s">
        <v>48</v>
      </c>
      <c r="I4031">
        <v>1628</v>
      </c>
      <c r="J4031" t="s">
        <v>21</v>
      </c>
      <c r="K4031">
        <v>0</v>
      </c>
      <c r="M4031">
        <v>1488</v>
      </c>
    </row>
    <row r="4032" spans="1:13">
      <c r="A4032">
        <v>4026</v>
      </c>
      <c r="B4032">
        <v>92134</v>
      </c>
      <c r="C4032" t="s">
        <v>8633</v>
      </c>
      <c r="D4032" t="s">
        <v>76</v>
      </c>
      <c r="E4032">
        <v>786102</v>
      </c>
      <c r="F4032" t="str">
        <f>"00082051"</f>
        <v>00082051</v>
      </c>
      <c r="G4032" t="s">
        <v>380</v>
      </c>
      <c r="H4032" t="s">
        <v>137</v>
      </c>
      <c r="I4032">
        <v>1615</v>
      </c>
      <c r="J4032" t="s">
        <v>21</v>
      </c>
      <c r="K4032">
        <v>0</v>
      </c>
      <c r="L4032" t="s">
        <v>35</v>
      </c>
      <c r="M4032">
        <v>1073</v>
      </c>
    </row>
    <row r="4033" spans="1:13">
      <c r="A4033">
        <v>4027</v>
      </c>
      <c r="B4033">
        <v>77993</v>
      </c>
      <c r="C4033" t="s">
        <v>8634</v>
      </c>
      <c r="D4033" t="s">
        <v>130</v>
      </c>
      <c r="E4033" t="s">
        <v>8635</v>
      </c>
      <c r="F4033" t="str">
        <f>"201511043325"</f>
        <v>201511043325</v>
      </c>
      <c r="G4033" t="s">
        <v>2094</v>
      </c>
      <c r="H4033" t="s">
        <v>234</v>
      </c>
      <c r="I4033">
        <v>1331</v>
      </c>
      <c r="J4033" t="s">
        <v>21</v>
      </c>
      <c r="K4033">
        <v>7</v>
      </c>
      <c r="L4033" t="s">
        <v>35</v>
      </c>
      <c r="M4033">
        <v>1000</v>
      </c>
    </row>
    <row r="4034" spans="1:13">
      <c r="A4034">
        <v>4028</v>
      </c>
      <c r="B4034">
        <v>55242</v>
      </c>
      <c r="C4034" t="s">
        <v>8636</v>
      </c>
      <c r="D4034" t="s">
        <v>90</v>
      </c>
      <c r="E4034" t="s">
        <v>8637</v>
      </c>
      <c r="F4034" t="str">
        <f>"00361483"</f>
        <v>00361483</v>
      </c>
      <c r="G4034" t="s">
        <v>47</v>
      </c>
      <c r="H4034" t="s">
        <v>48</v>
      </c>
      <c r="I4034">
        <v>1623</v>
      </c>
      <c r="J4034" t="s">
        <v>21</v>
      </c>
      <c r="K4034">
        <v>0</v>
      </c>
      <c r="M4034">
        <v>1361</v>
      </c>
    </row>
    <row r="4035" spans="1:13">
      <c r="A4035">
        <v>4029</v>
      </c>
      <c r="B4035">
        <v>70196</v>
      </c>
      <c r="C4035" t="s">
        <v>8638</v>
      </c>
      <c r="D4035" t="s">
        <v>105</v>
      </c>
      <c r="E4035" t="s">
        <v>8639</v>
      </c>
      <c r="F4035" t="str">
        <f>"00282629"</f>
        <v>00282629</v>
      </c>
      <c r="G4035" t="s">
        <v>834</v>
      </c>
      <c r="H4035" t="s">
        <v>20</v>
      </c>
      <c r="I4035">
        <v>1416</v>
      </c>
      <c r="J4035" t="s">
        <v>21</v>
      </c>
      <c r="K4035">
        <v>0</v>
      </c>
      <c r="M4035">
        <v>1368</v>
      </c>
    </row>
    <row r="4036" spans="1:13">
      <c r="A4036">
        <v>4030</v>
      </c>
      <c r="B4036">
        <v>87722</v>
      </c>
      <c r="C4036" t="s">
        <v>8640</v>
      </c>
      <c r="D4036" t="s">
        <v>153</v>
      </c>
      <c r="E4036" t="s">
        <v>8641</v>
      </c>
      <c r="F4036" t="str">
        <f>"00383086"</f>
        <v>00383086</v>
      </c>
      <c r="G4036" t="s">
        <v>1107</v>
      </c>
      <c r="H4036" t="s">
        <v>8642</v>
      </c>
      <c r="I4036">
        <v>1640</v>
      </c>
      <c r="J4036" t="s">
        <v>21</v>
      </c>
      <c r="K4036">
        <v>0</v>
      </c>
      <c r="L4036" t="s">
        <v>35</v>
      </c>
      <c r="M4036">
        <v>856</v>
      </c>
    </row>
    <row r="4037" spans="1:13">
      <c r="A4037">
        <v>4031</v>
      </c>
      <c r="B4037">
        <v>95078</v>
      </c>
      <c r="C4037" t="s">
        <v>8643</v>
      </c>
      <c r="D4037" t="s">
        <v>98</v>
      </c>
      <c r="E4037" t="s">
        <v>8644</v>
      </c>
      <c r="F4037" t="str">
        <f>"00124167"</f>
        <v>00124167</v>
      </c>
      <c r="G4037" t="s">
        <v>240</v>
      </c>
      <c r="H4037" t="s">
        <v>20</v>
      </c>
      <c r="I4037">
        <v>1535</v>
      </c>
      <c r="J4037" t="s">
        <v>21</v>
      </c>
      <c r="K4037">
        <v>6</v>
      </c>
      <c r="M4037">
        <v>1363</v>
      </c>
    </row>
    <row r="4038" spans="1:13">
      <c r="A4038">
        <v>4032</v>
      </c>
      <c r="B4038">
        <v>51106</v>
      </c>
      <c r="C4038" t="s">
        <v>8645</v>
      </c>
      <c r="D4038" t="s">
        <v>243</v>
      </c>
      <c r="E4038" t="s">
        <v>8646</v>
      </c>
      <c r="F4038" t="str">
        <f>"00171649"</f>
        <v>00171649</v>
      </c>
      <c r="G4038" t="s">
        <v>278</v>
      </c>
      <c r="H4038" t="s">
        <v>1499</v>
      </c>
      <c r="I4038">
        <v>1597</v>
      </c>
      <c r="J4038" t="s">
        <v>21</v>
      </c>
      <c r="K4038">
        <v>0</v>
      </c>
      <c r="L4038" t="s">
        <v>35</v>
      </c>
      <c r="M4038">
        <v>974</v>
      </c>
    </row>
    <row r="4039" spans="1:13">
      <c r="A4039">
        <v>4033</v>
      </c>
      <c r="B4039">
        <v>62896</v>
      </c>
      <c r="C4039" t="s">
        <v>8647</v>
      </c>
      <c r="D4039" t="s">
        <v>80</v>
      </c>
      <c r="E4039" t="s">
        <v>8648</v>
      </c>
      <c r="F4039" t="str">
        <f>"201511024220"</f>
        <v>201511024220</v>
      </c>
      <c r="G4039" t="s">
        <v>245</v>
      </c>
      <c r="H4039" t="s">
        <v>20</v>
      </c>
      <c r="I4039">
        <v>1406</v>
      </c>
      <c r="J4039" t="s">
        <v>21</v>
      </c>
      <c r="K4039">
        <v>0</v>
      </c>
      <c r="L4039" t="s">
        <v>35</v>
      </c>
      <c r="M4039">
        <v>935</v>
      </c>
    </row>
    <row r="4040" spans="1:13">
      <c r="A4040">
        <v>4034</v>
      </c>
      <c r="B4040">
        <v>64351</v>
      </c>
      <c r="C4040" t="s">
        <v>8649</v>
      </c>
      <c r="D4040" t="s">
        <v>90</v>
      </c>
      <c r="E4040" t="s">
        <v>8650</v>
      </c>
      <c r="F4040" t="str">
        <f>"00263341"</f>
        <v>00263341</v>
      </c>
      <c r="G4040" t="s">
        <v>709</v>
      </c>
      <c r="H4040" t="s">
        <v>20</v>
      </c>
      <c r="I4040">
        <v>1413</v>
      </c>
      <c r="J4040" t="s">
        <v>21</v>
      </c>
      <c r="K4040">
        <v>0</v>
      </c>
      <c r="L4040" t="s">
        <v>88</v>
      </c>
      <c r="M4040">
        <v>500</v>
      </c>
    </row>
    <row r="4041" spans="1:13">
      <c r="A4041">
        <v>4035</v>
      </c>
      <c r="B4041">
        <v>114983</v>
      </c>
      <c r="C4041" t="s">
        <v>8651</v>
      </c>
      <c r="D4041" t="s">
        <v>2623</v>
      </c>
      <c r="E4041" t="s">
        <v>8652</v>
      </c>
      <c r="F4041" t="str">
        <f>"00419365"</f>
        <v>00419365</v>
      </c>
      <c r="G4041" t="s">
        <v>211</v>
      </c>
      <c r="H4041" t="s">
        <v>48</v>
      </c>
      <c r="I4041">
        <v>1628</v>
      </c>
      <c r="J4041" t="s">
        <v>21</v>
      </c>
      <c r="K4041">
        <v>0</v>
      </c>
      <c r="M4041">
        <v>1362</v>
      </c>
    </row>
    <row r="4042" spans="1:13">
      <c r="A4042">
        <v>4036</v>
      </c>
      <c r="B4042">
        <v>116364</v>
      </c>
      <c r="C4042" t="s">
        <v>8653</v>
      </c>
      <c r="D4042" t="s">
        <v>145</v>
      </c>
      <c r="E4042" t="s">
        <v>8654</v>
      </c>
      <c r="F4042" t="str">
        <f>"201309000053"</f>
        <v>201309000053</v>
      </c>
      <c r="G4042" t="s">
        <v>38</v>
      </c>
      <c r="H4042" t="s">
        <v>39</v>
      </c>
      <c r="I4042">
        <v>1634</v>
      </c>
      <c r="J4042" t="s">
        <v>21</v>
      </c>
      <c r="K4042">
        <v>6</v>
      </c>
      <c r="L4042" t="s">
        <v>35</v>
      </c>
      <c r="M4042">
        <v>608</v>
      </c>
    </row>
    <row r="4043" spans="1:13">
      <c r="A4043">
        <v>4037</v>
      </c>
      <c r="B4043">
        <v>88887</v>
      </c>
      <c r="C4043" t="s">
        <v>8655</v>
      </c>
      <c r="D4043" t="s">
        <v>153</v>
      </c>
      <c r="E4043" t="s">
        <v>8656</v>
      </c>
      <c r="F4043" t="str">
        <f>"00421370"</f>
        <v>00421370</v>
      </c>
      <c r="G4043" t="s">
        <v>24</v>
      </c>
      <c r="H4043" t="s">
        <v>20</v>
      </c>
      <c r="I4043">
        <v>1577</v>
      </c>
      <c r="J4043" t="s">
        <v>21</v>
      </c>
      <c r="K4043">
        <v>0</v>
      </c>
      <c r="M4043">
        <v>1368</v>
      </c>
    </row>
    <row r="4044" spans="1:13">
      <c r="A4044">
        <v>4038</v>
      </c>
      <c r="B4044">
        <v>107430</v>
      </c>
      <c r="C4044" t="s">
        <v>8657</v>
      </c>
      <c r="D4044" t="s">
        <v>121</v>
      </c>
      <c r="E4044" t="s">
        <v>8658</v>
      </c>
      <c r="F4044" t="str">
        <f>"201406006260"</f>
        <v>201406006260</v>
      </c>
      <c r="G4044" t="s">
        <v>19</v>
      </c>
      <c r="H4044" t="s">
        <v>20</v>
      </c>
      <c r="I4044">
        <v>1531</v>
      </c>
      <c r="J4044" t="s">
        <v>21</v>
      </c>
      <c r="K4044">
        <v>0</v>
      </c>
      <c r="M4044">
        <v>1388</v>
      </c>
    </row>
    <row r="4045" spans="1:13">
      <c r="A4045">
        <v>4039</v>
      </c>
      <c r="B4045">
        <v>96871</v>
      </c>
      <c r="C4045" t="s">
        <v>8659</v>
      </c>
      <c r="D4045" t="s">
        <v>130</v>
      </c>
      <c r="E4045" t="s">
        <v>8660</v>
      </c>
      <c r="F4045" t="str">
        <f>"00371193"</f>
        <v>00371193</v>
      </c>
      <c r="G4045" t="s">
        <v>38</v>
      </c>
      <c r="H4045" t="s">
        <v>39</v>
      </c>
      <c r="I4045">
        <v>1634</v>
      </c>
      <c r="J4045" t="s">
        <v>21</v>
      </c>
      <c r="K4045">
        <v>6</v>
      </c>
      <c r="L4045" t="s">
        <v>112</v>
      </c>
      <c r="M4045">
        <v>408</v>
      </c>
    </row>
    <row r="4046" spans="1:13">
      <c r="A4046">
        <v>4040</v>
      </c>
      <c r="B4046">
        <v>80718</v>
      </c>
      <c r="C4046" t="s">
        <v>8661</v>
      </c>
      <c r="D4046" t="s">
        <v>90</v>
      </c>
      <c r="E4046" t="s">
        <v>8662</v>
      </c>
      <c r="F4046" t="str">
        <f>"00386440"</f>
        <v>00386440</v>
      </c>
      <c r="G4046" t="s">
        <v>147</v>
      </c>
      <c r="H4046" t="s">
        <v>20</v>
      </c>
      <c r="I4046">
        <v>1529</v>
      </c>
      <c r="J4046" t="s">
        <v>21</v>
      </c>
      <c r="K4046">
        <v>0</v>
      </c>
      <c r="L4046" t="s">
        <v>35</v>
      </c>
      <c r="M4046">
        <v>958</v>
      </c>
    </row>
    <row r="4047" spans="1:13">
      <c r="A4047">
        <v>4041</v>
      </c>
      <c r="B4047">
        <v>56203</v>
      </c>
      <c r="C4047" t="s">
        <v>8663</v>
      </c>
      <c r="D4047" t="s">
        <v>213</v>
      </c>
      <c r="E4047" t="s">
        <v>8664</v>
      </c>
      <c r="F4047" t="str">
        <f>"00001652"</f>
        <v>00001652</v>
      </c>
      <c r="G4047" t="s">
        <v>3854</v>
      </c>
      <c r="H4047" t="s">
        <v>308</v>
      </c>
      <c r="I4047">
        <v>1591</v>
      </c>
      <c r="J4047" t="s">
        <v>21</v>
      </c>
      <c r="K4047">
        <v>0</v>
      </c>
      <c r="M4047">
        <v>1328</v>
      </c>
    </row>
    <row r="4048" spans="1:13">
      <c r="A4048">
        <v>4042</v>
      </c>
      <c r="B4048">
        <v>59422</v>
      </c>
      <c r="C4048" t="s">
        <v>8665</v>
      </c>
      <c r="D4048" t="s">
        <v>121</v>
      </c>
      <c r="E4048" t="s">
        <v>8666</v>
      </c>
      <c r="F4048" t="str">
        <f>"00354840"</f>
        <v>00354840</v>
      </c>
      <c r="G4048" t="s">
        <v>1160</v>
      </c>
      <c r="H4048" t="s">
        <v>20</v>
      </c>
      <c r="I4048">
        <v>1424</v>
      </c>
      <c r="J4048" t="s">
        <v>21</v>
      </c>
      <c r="K4048">
        <v>0</v>
      </c>
      <c r="L4048" t="s">
        <v>35</v>
      </c>
      <c r="M4048">
        <v>1129</v>
      </c>
    </row>
    <row r="4049" spans="1:13">
      <c r="A4049">
        <v>4043</v>
      </c>
      <c r="B4049">
        <v>83185</v>
      </c>
      <c r="C4049" t="s">
        <v>8667</v>
      </c>
      <c r="D4049" t="s">
        <v>105</v>
      </c>
      <c r="E4049" t="s">
        <v>8668</v>
      </c>
      <c r="F4049" t="str">
        <f>"00416734"</f>
        <v>00416734</v>
      </c>
      <c r="G4049" t="s">
        <v>107</v>
      </c>
      <c r="H4049" t="s">
        <v>20</v>
      </c>
      <c r="I4049">
        <v>1472</v>
      </c>
      <c r="J4049" t="s">
        <v>21</v>
      </c>
      <c r="K4049">
        <v>0</v>
      </c>
      <c r="L4049" t="s">
        <v>88</v>
      </c>
      <c r="M4049">
        <v>758</v>
      </c>
    </row>
    <row r="4050" spans="1:13">
      <c r="A4050">
        <v>4044</v>
      </c>
      <c r="B4050">
        <v>77989</v>
      </c>
      <c r="C4050" t="s">
        <v>8669</v>
      </c>
      <c r="D4050" t="s">
        <v>80</v>
      </c>
      <c r="E4050" t="s">
        <v>8670</v>
      </c>
      <c r="F4050" t="str">
        <f>"00408198"</f>
        <v>00408198</v>
      </c>
      <c r="G4050" t="s">
        <v>713</v>
      </c>
      <c r="H4050" t="s">
        <v>366</v>
      </c>
      <c r="I4050">
        <v>1690</v>
      </c>
      <c r="J4050" t="s">
        <v>21</v>
      </c>
      <c r="K4050">
        <v>0</v>
      </c>
      <c r="L4050" t="s">
        <v>35</v>
      </c>
      <c r="M4050">
        <v>1075</v>
      </c>
    </row>
    <row r="4051" spans="1:13">
      <c r="A4051">
        <v>4045</v>
      </c>
      <c r="B4051">
        <v>51806</v>
      </c>
      <c r="C4051" t="s">
        <v>8671</v>
      </c>
      <c r="D4051" t="s">
        <v>105</v>
      </c>
      <c r="E4051" t="s">
        <v>8672</v>
      </c>
      <c r="F4051" t="str">
        <f>"00367669"</f>
        <v>00367669</v>
      </c>
      <c r="G4051" t="s">
        <v>70</v>
      </c>
      <c r="H4051" t="s">
        <v>71</v>
      </c>
      <c r="I4051">
        <v>1702</v>
      </c>
      <c r="J4051" t="s">
        <v>21</v>
      </c>
      <c r="K4051">
        <v>0</v>
      </c>
      <c r="M4051">
        <v>1328</v>
      </c>
    </row>
    <row r="4052" spans="1:13">
      <c r="A4052">
        <v>4046</v>
      </c>
      <c r="B4052">
        <v>59595</v>
      </c>
      <c r="C4052" t="s">
        <v>8673</v>
      </c>
      <c r="D4052" t="s">
        <v>260</v>
      </c>
      <c r="E4052" t="s">
        <v>8674</v>
      </c>
      <c r="F4052" t="str">
        <f>"201511037856"</f>
        <v>201511037856</v>
      </c>
      <c r="G4052" t="s">
        <v>47</v>
      </c>
      <c r="H4052" t="s">
        <v>48</v>
      </c>
      <c r="I4052">
        <v>1623</v>
      </c>
      <c r="J4052" t="s">
        <v>21</v>
      </c>
      <c r="K4052">
        <v>0</v>
      </c>
      <c r="L4052" t="s">
        <v>35</v>
      </c>
      <c r="M4052">
        <v>885</v>
      </c>
    </row>
    <row r="4053" spans="1:13">
      <c r="A4053">
        <v>4047</v>
      </c>
      <c r="B4053">
        <v>73276</v>
      </c>
      <c r="C4053" t="s">
        <v>8675</v>
      </c>
      <c r="D4053" t="s">
        <v>90</v>
      </c>
      <c r="E4053" t="s">
        <v>8676</v>
      </c>
      <c r="F4053" t="str">
        <f>"00385648"</f>
        <v>00385648</v>
      </c>
      <c r="G4053" t="s">
        <v>47</v>
      </c>
      <c r="H4053" t="s">
        <v>48</v>
      </c>
      <c r="I4053">
        <v>1623</v>
      </c>
      <c r="J4053" t="s">
        <v>21</v>
      </c>
      <c r="K4053">
        <v>0</v>
      </c>
      <c r="M4053">
        <v>1498</v>
      </c>
    </row>
    <row r="4054" spans="1:13">
      <c r="A4054">
        <v>4048</v>
      </c>
      <c r="B4054">
        <v>54867</v>
      </c>
      <c r="C4054" t="s">
        <v>8677</v>
      </c>
      <c r="D4054" t="s">
        <v>76</v>
      </c>
      <c r="E4054" t="s">
        <v>8678</v>
      </c>
      <c r="F4054" t="str">
        <f>"00282518"</f>
        <v>00282518</v>
      </c>
      <c r="G4054" t="s">
        <v>691</v>
      </c>
      <c r="H4054" t="s">
        <v>241</v>
      </c>
      <c r="I4054">
        <v>1360</v>
      </c>
      <c r="J4054" t="s">
        <v>21</v>
      </c>
      <c r="K4054">
        <v>0</v>
      </c>
      <c r="M4054">
        <v>1528</v>
      </c>
    </row>
    <row r="4055" spans="1:13">
      <c r="A4055">
        <v>4049</v>
      </c>
      <c r="B4055">
        <v>76766</v>
      </c>
      <c r="C4055" t="s">
        <v>8679</v>
      </c>
      <c r="D4055" t="s">
        <v>8680</v>
      </c>
      <c r="E4055" t="s">
        <v>8681</v>
      </c>
      <c r="F4055" t="str">
        <f>"00403082"</f>
        <v>00403082</v>
      </c>
      <c r="G4055" t="s">
        <v>985</v>
      </c>
      <c r="H4055" t="s">
        <v>20</v>
      </c>
      <c r="I4055">
        <v>1550</v>
      </c>
      <c r="J4055" t="s">
        <v>21</v>
      </c>
      <c r="K4055">
        <v>6</v>
      </c>
      <c r="L4055" t="s">
        <v>35</v>
      </c>
      <c r="M4055">
        <v>823</v>
      </c>
    </row>
    <row r="4056" spans="1:13">
      <c r="A4056">
        <v>4050</v>
      </c>
      <c r="B4056">
        <v>94881</v>
      </c>
      <c r="C4056" t="s">
        <v>8682</v>
      </c>
      <c r="D4056" t="s">
        <v>8683</v>
      </c>
      <c r="E4056" t="s">
        <v>8684</v>
      </c>
      <c r="F4056" t="str">
        <f>"00392546"</f>
        <v>00392546</v>
      </c>
      <c r="G4056" t="s">
        <v>107</v>
      </c>
      <c r="H4056" t="s">
        <v>20</v>
      </c>
      <c r="I4056">
        <v>1472</v>
      </c>
      <c r="J4056" t="s">
        <v>21</v>
      </c>
      <c r="K4056">
        <v>0</v>
      </c>
      <c r="L4056" t="s">
        <v>401</v>
      </c>
      <c r="M4056">
        <v>1228</v>
      </c>
    </row>
    <row r="4057" spans="1:13">
      <c r="A4057">
        <v>4051</v>
      </c>
      <c r="B4057">
        <v>80035</v>
      </c>
      <c r="C4057" t="s">
        <v>8685</v>
      </c>
      <c r="D4057" t="s">
        <v>121</v>
      </c>
      <c r="E4057" t="s">
        <v>8686</v>
      </c>
      <c r="F4057" t="str">
        <f>"00380616"</f>
        <v>00380616</v>
      </c>
      <c r="G4057" t="s">
        <v>1321</v>
      </c>
      <c r="H4057" t="s">
        <v>234</v>
      </c>
      <c r="I4057">
        <v>1330</v>
      </c>
      <c r="J4057" t="s">
        <v>21</v>
      </c>
      <c r="K4057">
        <v>0</v>
      </c>
      <c r="L4057" t="s">
        <v>35</v>
      </c>
      <c r="M4057">
        <v>1133</v>
      </c>
    </row>
    <row r="4058" spans="1:13">
      <c r="A4058">
        <v>4052</v>
      </c>
      <c r="B4058">
        <v>106152</v>
      </c>
      <c r="C4058" t="s">
        <v>8687</v>
      </c>
      <c r="D4058" t="s">
        <v>94</v>
      </c>
      <c r="E4058" t="s">
        <v>8688</v>
      </c>
      <c r="F4058" t="str">
        <f>"00384947"</f>
        <v>00384947</v>
      </c>
      <c r="G4058" t="s">
        <v>215</v>
      </c>
      <c r="H4058" t="s">
        <v>216</v>
      </c>
      <c r="I4058">
        <v>1708</v>
      </c>
      <c r="J4058" t="s">
        <v>21</v>
      </c>
      <c r="K4058">
        <v>6</v>
      </c>
      <c r="M4058">
        <v>1288</v>
      </c>
    </row>
    <row r="4059" spans="1:13">
      <c r="A4059">
        <v>4053</v>
      </c>
      <c r="B4059">
        <v>95578</v>
      </c>
      <c r="C4059" t="s">
        <v>8689</v>
      </c>
      <c r="D4059" t="s">
        <v>105</v>
      </c>
      <c r="E4059" t="s">
        <v>8690</v>
      </c>
      <c r="F4059" t="str">
        <f>"00395839"</f>
        <v>00395839</v>
      </c>
      <c r="G4059" t="s">
        <v>7326</v>
      </c>
      <c r="H4059" t="s">
        <v>137</v>
      </c>
      <c r="I4059">
        <v>1613</v>
      </c>
      <c r="J4059" t="s">
        <v>21</v>
      </c>
      <c r="K4059">
        <v>6</v>
      </c>
      <c r="M4059">
        <v>1404</v>
      </c>
    </row>
    <row r="4060" spans="1:13">
      <c r="A4060">
        <v>4054</v>
      </c>
      <c r="B4060">
        <v>104010</v>
      </c>
      <c r="C4060" t="s">
        <v>8691</v>
      </c>
      <c r="D4060" t="s">
        <v>65</v>
      </c>
      <c r="E4060" t="s">
        <v>8692</v>
      </c>
      <c r="F4060" t="str">
        <f>"201511010122"</f>
        <v>201511010122</v>
      </c>
      <c r="G4060" t="s">
        <v>167</v>
      </c>
      <c r="H4060" t="s">
        <v>20</v>
      </c>
      <c r="I4060">
        <v>1486</v>
      </c>
      <c r="J4060" t="s">
        <v>21</v>
      </c>
      <c r="K4060">
        <v>0</v>
      </c>
      <c r="L4060" t="s">
        <v>35</v>
      </c>
      <c r="M4060">
        <v>1406</v>
      </c>
    </row>
    <row r="4061" spans="1:13">
      <c r="A4061">
        <v>4055</v>
      </c>
      <c r="B4061">
        <v>56624</v>
      </c>
      <c r="C4061" t="s">
        <v>8693</v>
      </c>
      <c r="D4061" t="s">
        <v>102</v>
      </c>
      <c r="E4061" t="s">
        <v>8694</v>
      </c>
      <c r="F4061" t="str">
        <f>"00356619"</f>
        <v>00356619</v>
      </c>
      <c r="G4061" t="s">
        <v>1695</v>
      </c>
      <c r="H4061" t="s">
        <v>20</v>
      </c>
      <c r="I4061">
        <v>1533</v>
      </c>
      <c r="J4061" t="s">
        <v>21</v>
      </c>
      <c r="K4061">
        <v>0</v>
      </c>
      <c r="M4061">
        <v>1324</v>
      </c>
    </row>
    <row r="4062" spans="1:13">
      <c r="A4062">
        <v>4056</v>
      </c>
      <c r="B4062">
        <v>77070</v>
      </c>
      <c r="C4062" t="s">
        <v>8695</v>
      </c>
      <c r="D4062" t="s">
        <v>163</v>
      </c>
      <c r="E4062" t="s">
        <v>8696</v>
      </c>
      <c r="F4062" t="str">
        <f>"00282501"</f>
        <v>00282501</v>
      </c>
      <c r="G4062" t="s">
        <v>4909</v>
      </c>
      <c r="H4062" t="s">
        <v>20</v>
      </c>
      <c r="I4062">
        <v>1552</v>
      </c>
      <c r="J4062" t="s">
        <v>21</v>
      </c>
      <c r="K4062">
        <v>6</v>
      </c>
      <c r="M4062">
        <v>1024</v>
      </c>
    </row>
    <row r="4063" spans="1:13">
      <c r="A4063">
        <v>4057</v>
      </c>
      <c r="B4063">
        <v>77258</v>
      </c>
      <c r="C4063" t="s">
        <v>8697</v>
      </c>
      <c r="D4063" t="s">
        <v>145</v>
      </c>
      <c r="E4063" t="s">
        <v>8698</v>
      </c>
      <c r="F4063" t="str">
        <f>"00401736"</f>
        <v>00401736</v>
      </c>
      <c r="G4063" t="s">
        <v>47</v>
      </c>
      <c r="H4063" t="s">
        <v>48</v>
      </c>
      <c r="I4063">
        <v>1623</v>
      </c>
      <c r="J4063" t="s">
        <v>21</v>
      </c>
      <c r="K4063">
        <v>0</v>
      </c>
      <c r="L4063" t="s">
        <v>35</v>
      </c>
      <c r="M4063">
        <v>900</v>
      </c>
    </row>
    <row r="4064" spans="1:13">
      <c r="A4064">
        <v>4058</v>
      </c>
      <c r="B4064">
        <v>86469</v>
      </c>
      <c r="C4064" t="s">
        <v>8699</v>
      </c>
      <c r="D4064" t="s">
        <v>2264</v>
      </c>
      <c r="E4064" t="s">
        <v>8700</v>
      </c>
      <c r="F4064" t="str">
        <f>"00400439"</f>
        <v>00400439</v>
      </c>
      <c r="G4064" t="s">
        <v>488</v>
      </c>
      <c r="H4064" t="s">
        <v>20</v>
      </c>
      <c r="I4064">
        <v>1482</v>
      </c>
      <c r="J4064" t="s">
        <v>21</v>
      </c>
      <c r="K4064">
        <v>0</v>
      </c>
      <c r="L4064" t="s">
        <v>88</v>
      </c>
      <c r="M4064">
        <v>577</v>
      </c>
    </row>
    <row r="4065" spans="1:13">
      <c r="A4065">
        <v>4059</v>
      </c>
      <c r="B4065">
        <v>64084</v>
      </c>
      <c r="C4065" t="s">
        <v>8701</v>
      </c>
      <c r="D4065" t="s">
        <v>288</v>
      </c>
      <c r="E4065" t="s">
        <v>8702</v>
      </c>
      <c r="F4065" t="str">
        <f>"00319669"</f>
        <v>00319669</v>
      </c>
      <c r="G4065" t="s">
        <v>994</v>
      </c>
      <c r="H4065" t="s">
        <v>20</v>
      </c>
      <c r="I4065">
        <v>1522</v>
      </c>
      <c r="J4065" t="s">
        <v>21</v>
      </c>
      <c r="K4065">
        <v>0</v>
      </c>
      <c r="L4065" t="s">
        <v>88</v>
      </c>
      <c r="M4065">
        <v>689</v>
      </c>
    </row>
    <row r="4066" spans="1:13">
      <c r="A4066">
        <v>4060</v>
      </c>
      <c r="B4066">
        <v>92078</v>
      </c>
      <c r="C4066" t="s">
        <v>8703</v>
      </c>
      <c r="D4066" t="s">
        <v>105</v>
      </c>
      <c r="E4066" t="s">
        <v>8704</v>
      </c>
      <c r="F4066" t="str">
        <f>"00277766"</f>
        <v>00277766</v>
      </c>
      <c r="G4066" t="s">
        <v>1245</v>
      </c>
      <c r="H4066" t="s">
        <v>20</v>
      </c>
      <c r="I4066">
        <v>1527</v>
      </c>
      <c r="J4066" t="s">
        <v>21</v>
      </c>
      <c r="K4066">
        <v>0</v>
      </c>
      <c r="L4066" t="s">
        <v>35</v>
      </c>
      <c r="M4066">
        <v>908</v>
      </c>
    </row>
    <row r="4067" spans="1:13">
      <c r="A4067">
        <v>4061</v>
      </c>
      <c r="B4067">
        <v>113839</v>
      </c>
      <c r="C4067" t="s">
        <v>8705</v>
      </c>
      <c r="D4067" t="s">
        <v>2623</v>
      </c>
      <c r="E4067" t="s">
        <v>8706</v>
      </c>
      <c r="F4067" t="str">
        <f>"00045876"</f>
        <v>00045876</v>
      </c>
      <c r="G4067" t="s">
        <v>971</v>
      </c>
      <c r="H4067" t="s">
        <v>48</v>
      </c>
      <c r="I4067">
        <v>1624</v>
      </c>
      <c r="J4067" t="s">
        <v>21</v>
      </c>
      <c r="K4067">
        <v>0</v>
      </c>
      <c r="L4067" t="s">
        <v>35</v>
      </c>
      <c r="M4067">
        <v>908</v>
      </c>
    </row>
    <row r="4068" spans="1:13">
      <c r="A4068">
        <v>4062</v>
      </c>
      <c r="B4068">
        <v>108890</v>
      </c>
      <c r="C4068" t="s">
        <v>8707</v>
      </c>
      <c r="D4068" t="s">
        <v>105</v>
      </c>
      <c r="E4068" t="s">
        <v>8708</v>
      </c>
      <c r="F4068" t="str">
        <f>"00421661"</f>
        <v>00421661</v>
      </c>
      <c r="G4068" t="s">
        <v>150</v>
      </c>
      <c r="H4068" t="s">
        <v>151</v>
      </c>
      <c r="I4068">
        <v>1699</v>
      </c>
      <c r="J4068" t="s">
        <v>21</v>
      </c>
      <c r="K4068">
        <v>0</v>
      </c>
      <c r="M4068">
        <v>1528</v>
      </c>
    </row>
    <row r="4069" spans="1:13">
      <c r="A4069">
        <v>4063</v>
      </c>
      <c r="B4069">
        <v>114173</v>
      </c>
      <c r="C4069" t="s">
        <v>8709</v>
      </c>
      <c r="D4069" t="s">
        <v>105</v>
      </c>
      <c r="E4069" t="s">
        <v>8710</v>
      </c>
      <c r="F4069" t="str">
        <f>"00423471"</f>
        <v>00423471</v>
      </c>
      <c r="G4069" t="s">
        <v>38</v>
      </c>
      <c r="H4069" t="s">
        <v>39</v>
      </c>
      <c r="I4069">
        <v>1634</v>
      </c>
      <c r="J4069" t="s">
        <v>21</v>
      </c>
      <c r="K4069">
        <v>6</v>
      </c>
      <c r="L4069" t="s">
        <v>35</v>
      </c>
      <c r="M4069">
        <v>608</v>
      </c>
    </row>
    <row r="4070" spans="1:13">
      <c r="A4070">
        <v>4064</v>
      </c>
      <c r="B4070">
        <v>70601</v>
      </c>
      <c r="C4070" t="s">
        <v>8711</v>
      </c>
      <c r="D4070" t="s">
        <v>180</v>
      </c>
      <c r="E4070" t="s">
        <v>8712</v>
      </c>
      <c r="F4070" t="str">
        <f>"00377530"</f>
        <v>00377530</v>
      </c>
      <c r="G4070" t="s">
        <v>561</v>
      </c>
      <c r="H4070" t="s">
        <v>20</v>
      </c>
      <c r="I4070">
        <v>1574</v>
      </c>
      <c r="J4070" t="s">
        <v>21</v>
      </c>
      <c r="K4070">
        <v>0</v>
      </c>
      <c r="M4070">
        <v>1338</v>
      </c>
    </row>
    <row r="4071" spans="1:13">
      <c r="A4071">
        <v>4065</v>
      </c>
      <c r="B4071">
        <v>112042</v>
      </c>
      <c r="C4071" t="s">
        <v>8713</v>
      </c>
      <c r="D4071" t="s">
        <v>1474</v>
      </c>
      <c r="E4071" t="s">
        <v>8714</v>
      </c>
      <c r="F4071" t="str">
        <f>"00416411"</f>
        <v>00416411</v>
      </c>
      <c r="G4071" t="s">
        <v>42</v>
      </c>
      <c r="H4071" t="s">
        <v>43</v>
      </c>
      <c r="I4071">
        <v>1712</v>
      </c>
      <c r="J4071" t="s">
        <v>21</v>
      </c>
      <c r="K4071">
        <v>0</v>
      </c>
      <c r="M4071">
        <v>1533</v>
      </c>
    </row>
    <row r="4072" spans="1:13">
      <c r="A4072">
        <v>4066</v>
      </c>
      <c r="B4072">
        <v>110565</v>
      </c>
      <c r="C4072" t="s">
        <v>8715</v>
      </c>
      <c r="D4072" t="s">
        <v>180</v>
      </c>
      <c r="E4072" t="s">
        <v>8716</v>
      </c>
      <c r="F4072" t="str">
        <f>"201208000015"</f>
        <v>201208000015</v>
      </c>
      <c r="G4072" t="s">
        <v>488</v>
      </c>
      <c r="H4072" t="s">
        <v>20</v>
      </c>
      <c r="I4072">
        <v>1482</v>
      </c>
      <c r="J4072" t="s">
        <v>21</v>
      </c>
      <c r="K4072">
        <v>0</v>
      </c>
      <c r="L4072" t="s">
        <v>2884</v>
      </c>
      <c r="M4072">
        <v>820</v>
      </c>
    </row>
    <row r="4073" spans="1:13">
      <c r="A4073">
        <v>4067</v>
      </c>
      <c r="B4073">
        <v>62488</v>
      </c>
      <c r="C4073" t="s">
        <v>8717</v>
      </c>
      <c r="D4073" t="s">
        <v>102</v>
      </c>
      <c r="E4073" t="s">
        <v>8718</v>
      </c>
      <c r="F4073" t="str">
        <f>"00257478"</f>
        <v>00257478</v>
      </c>
      <c r="G4073" t="s">
        <v>352</v>
      </c>
      <c r="H4073" t="s">
        <v>20</v>
      </c>
      <c r="I4073">
        <v>1471</v>
      </c>
      <c r="J4073" t="s">
        <v>21</v>
      </c>
      <c r="K4073">
        <v>0</v>
      </c>
      <c r="L4073" t="s">
        <v>35</v>
      </c>
      <c r="M4073">
        <v>1000</v>
      </c>
    </row>
    <row r="4074" spans="1:13">
      <c r="A4074">
        <v>4068</v>
      </c>
      <c r="B4074">
        <v>94471</v>
      </c>
      <c r="C4074" t="s">
        <v>8719</v>
      </c>
      <c r="D4074" t="s">
        <v>105</v>
      </c>
      <c r="E4074" t="s">
        <v>8720</v>
      </c>
      <c r="F4074" t="str">
        <f>"00390695"</f>
        <v>00390695</v>
      </c>
      <c r="G4074" t="s">
        <v>1277</v>
      </c>
      <c r="H4074" t="s">
        <v>1278</v>
      </c>
      <c r="I4074">
        <v>1697</v>
      </c>
      <c r="J4074" t="s">
        <v>21</v>
      </c>
      <c r="K4074">
        <v>7</v>
      </c>
      <c r="L4074" t="s">
        <v>35</v>
      </c>
      <c r="M4074">
        <v>723</v>
      </c>
    </row>
    <row r="4075" spans="1:13">
      <c r="A4075">
        <v>4069</v>
      </c>
      <c r="B4075">
        <v>54107</v>
      </c>
      <c r="C4075" t="s">
        <v>8719</v>
      </c>
      <c r="D4075" t="s">
        <v>243</v>
      </c>
      <c r="E4075" t="s">
        <v>8721</v>
      </c>
      <c r="F4075" t="str">
        <f>"00341849"</f>
        <v>00341849</v>
      </c>
      <c r="G4075" t="s">
        <v>38</v>
      </c>
      <c r="H4075" t="s">
        <v>39</v>
      </c>
      <c r="I4075">
        <v>1634</v>
      </c>
      <c r="J4075" t="s">
        <v>21</v>
      </c>
      <c r="K4075">
        <v>6</v>
      </c>
      <c r="M4075">
        <v>1229</v>
      </c>
    </row>
    <row r="4076" spans="1:13">
      <c r="A4076">
        <v>4070</v>
      </c>
      <c r="B4076">
        <v>73480</v>
      </c>
      <c r="C4076" t="s">
        <v>8722</v>
      </c>
      <c r="D4076" t="s">
        <v>8723</v>
      </c>
      <c r="E4076" t="s">
        <v>8724</v>
      </c>
      <c r="F4076" t="str">
        <f>"00046333"</f>
        <v>00046333</v>
      </c>
      <c r="G4076" t="s">
        <v>1321</v>
      </c>
      <c r="H4076" t="s">
        <v>234</v>
      </c>
      <c r="I4076">
        <v>1330</v>
      </c>
      <c r="J4076" t="s">
        <v>21</v>
      </c>
      <c r="K4076">
        <v>0</v>
      </c>
      <c r="M4076">
        <v>1484</v>
      </c>
    </row>
    <row r="4077" spans="1:13">
      <c r="A4077">
        <v>4071</v>
      </c>
      <c r="B4077">
        <v>71603</v>
      </c>
      <c r="C4077" t="s">
        <v>8725</v>
      </c>
      <c r="D4077" t="s">
        <v>243</v>
      </c>
      <c r="E4077" t="s">
        <v>8726</v>
      </c>
      <c r="F4077" t="str">
        <f>"00370361"</f>
        <v>00370361</v>
      </c>
      <c r="G4077" t="s">
        <v>3707</v>
      </c>
      <c r="H4077" t="s">
        <v>20</v>
      </c>
      <c r="I4077">
        <v>1437</v>
      </c>
      <c r="J4077" t="s">
        <v>21</v>
      </c>
      <c r="K4077">
        <v>6</v>
      </c>
      <c r="L4077" t="s">
        <v>35</v>
      </c>
      <c r="M4077">
        <v>1250</v>
      </c>
    </row>
    <row r="4078" spans="1:13">
      <c r="A4078">
        <v>4072</v>
      </c>
      <c r="B4078">
        <v>56975</v>
      </c>
      <c r="C4078" t="s">
        <v>8727</v>
      </c>
      <c r="D4078" t="s">
        <v>243</v>
      </c>
      <c r="E4078" t="s">
        <v>8728</v>
      </c>
      <c r="F4078" t="str">
        <f>"00329012"</f>
        <v>00329012</v>
      </c>
      <c r="G4078" t="s">
        <v>358</v>
      </c>
      <c r="H4078" t="s">
        <v>20</v>
      </c>
      <c r="I4078">
        <v>1549</v>
      </c>
      <c r="J4078" t="s">
        <v>21</v>
      </c>
      <c r="K4078">
        <v>0</v>
      </c>
      <c r="L4078" t="s">
        <v>88</v>
      </c>
      <c r="M4078">
        <v>502</v>
      </c>
    </row>
    <row r="4079" spans="1:13">
      <c r="A4079">
        <v>4073</v>
      </c>
      <c r="B4079">
        <v>61582</v>
      </c>
      <c r="C4079" t="s">
        <v>8729</v>
      </c>
      <c r="D4079" t="s">
        <v>180</v>
      </c>
      <c r="E4079" t="s">
        <v>8730</v>
      </c>
      <c r="F4079" t="str">
        <f>"00318480"</f>
        <v>00318480</v>
      </c>
      <c r="G4079" t="s">
        <v>196</v>
      </c>
      <c r="H4079" t="s">
        <v>20</v>
      </c>
      <c r="I4079">
        <v>1512</v>
      </c>
      <c r="J4079" t="s">
        <v>21</v>
      </c>
      <c r="K4079">
        <v>6</v>
      </c>
      <c r="L4079" t="s">
        <v>112</v>
      </c>
      <c r="M4079">
        <v>883</v>
      </c>
    </row>
    <row r="4080" spans="1:13">
      <c r="A4080">
        <v>4074</v>
      </c>
      <c r="B4080">
        <v>51181</v>
      </c>
      <c r="C4080" t="s">
        <v>8731</v>
      </c>
      <c r="D4080" t="s">
        <v>105</v>
      </c>
      <c r="E4080" t="s">
        <v>8732</v>
      </c>
      <c r="F4080" t="str">
        <f>"00351218"</f>
        <v>00351218</v>
      </c>
      <c r="G4080" t="s">
        <v>4415</v>
      </c>
      <c r="H4080" t="s">
        <v>535</v>
      </c>
      <c r="I4080">
        <v>1664</v>
      </c>
      <c r="J4080" t="s">
        <v>21</v>
      </c>
      <c r="K4080">
        <v>0</v>
      </c>
      <c r="M4080">
        <v>1388</v>
      </c>
    </row>
    <row r="4081" spans="1:13">
      <c r="A4081">
        <v>4075</v>
      </c>
      <c r="B4081">
        <v>55586</v>
      </c>
      <c r="C4081" t="s">
        <v>8733</v>
      </c>
      <c r="D4081" t="s">
        <v>180</v>
      </c>
      <c r="E4081" t="s">
        <v>8734</v>
      </c>
      <c r="F4081" t="str">
        <f>"00073238"</f>
        <v>00073238</v>
      </c>
      <c r="G4081" t="s">
        <v>67</v>
      </c>
      <c r="H4081" t="s">
        <v>20</v>
      </c>
      <c r="I4081">
        <v>1434</v>
      </c>
      <c r="J4081" t="s">
        <v>21</v>
      </c>
      <c r="K4081">
        <v>0</v>
      </c>
      <c r="L4081" t="s">
        <v>35</v>
      </c>
      <c r="M4081">
        <v>900</v>
      </c>
    </row>
    <row r="4082" spans="1:13">
      <c r="A4082">
        <v>4076</v>
      </c>
      <c r="B4082">
        <v>77432</v>
      </c>
      <c r="C4082" t="s">
        <v>8735</v>
      </c>
      <c r="D4082" t="s">
        <v>121</v>
      </c>
      <c r="E4082" t="s">
        <v>8736</v>
      </c>
      <c r="F4082" t="str">
        <f>"00370953"</f>
        <v>00370953</v>
      </c>
      <c r="G4082" t="s">
        <v>1245</v>
      </c>
      <c r="H4082" t="s">
        <v>20</v>
      </c>
      <c r="I4082">
        <v>1527</v>
      </c>
      <c r="J4082" t="s">
        <v>21</v>
      </c>
      <c r="K4082">
        <v>0</v>
      </c>
      <c r="M4082">
        <v>1487</v>
      </c>
    </row>
    <row r="4083" spans="1:13">
      <c r="A4083">
        <v>4077</v>
      </c>
      <c r="B4083">
        <v>75725</v>
      </c>
      <c r="C4083" t="s">
        <v>8737</v>
      </c>
      <c r="D4083" t="s">
        <v>80</v>
      </c>
      <c r="E4083" t="s">
        <v>8738</v>
      </c>
      <c r="F4083" t="str">
        <f>"00389969"</f>
        <v>00389969</v>
      </c>
      <c r="G4083" t="s">
        <v>531</v>
      </c>
      <c r="H4083" t="s">
        <v>20</v>
      </c>
      <c r="I4083">
        <v>1445</v>
      </c>
      <c r="J4083" t="s">
        <v>21</v>
      </c>
      <c r="K4083">
        <v>0</v>
      </c>
      <c r="L4083" t="s">
        <v>59</v>
      </c>
      <c r="M4083">
        <v>1119</v>
      </c>
    </row>
    <row r="4084" spans="1:13">
      <c r="A4084">
        <v>4078</v>
      </c>
      <c r="B4084">
        <v>56120</v>
      </c>
      <c r="C4084" t="s">
        <v>8739</v>
      </c>
      <c r="D4084" t="s">
        <v>98</v>
      </c>
      <c r="E4084" t="s">
        <v>8740</v>
      </c>
      <c r="F4084" t="str">
        <f>"200802009271"</f>
        <v>200802009271</v>
      </c>
      <c r="G4084" t="s">
        <v>33</v>
      </c>
      <c r="H4084" t="s">
        <v>34</v>
      </c>
      <c r="I4084">
        <v>1373</v>
      </c>
      <c r="J4084" t="s">
        <v>21</v>
      </c>
      <c r="K4084">
        <v>6</v>
      </c>
      <c r="M4084">
        <v>1528</v>
      </c>
    </row>
    <row r="4085" spans="1:13">
      <c r="A4085">
        <v>4079</v>
      </c>
      <c r="B4085">
        <v>60155</v>
      </c>
      <c r="C4085" t="s">
        <v>8741</v>
      </c>
      <c r="D4085" t="s">
        <v>90</v>
      </c>
      <c r="E4085" t="s">
        <v>8742</v>
      </c>
      <c r="F4085" t="str">
        <f>"00382036"</f>
        <v>00382036</v>
      </c>
      <c r="G4085" t="s">
        <v>302</v>
      </c>
      <c r="H4085" t="s">
        <v>20</v>
      </c>
      <c r="I4085">
        <v>1494</v>
      </c>
      <c r="J4085" t="s">
        <v>21</v>
      </c>
      <c r="K4085">
        <v>0</v>
      </c>
      <c r="M4085">
        <v>1482</v>
      </c>
    </row>
    <row r="4086" spans="1:13">
      <c r="A4086">
        <v>4080</v>
      </c>
      <c r="B4086">
        <v>107775</v>
      </c>
      <c r="C4086" t="s">
        <v>8743</v>
      </c>
      <c r="D4086" t="s">
        <v>121</v>
      </c>
      <c r="E4086" t="s">
        <v>8744</v>
      </c>
      <c r="F4086" t="str">
        <f>"00410749"</f>
        <v>00410749</v>
      </c>
      <c r="G4086" t="s">
        <v>1203</v>
      </c>
      <c r="H4086" t="s">
        <v>20</v>
      </c>
      <c r="I4086">
        <v>1443</v>
      </c>
      <c r="J4086" t="s">
        <v>21</v>
      </c>
      <c r="K4086">
        <v>0</v>
      </c>
      <c r="L4086" t="s">
        <v>88</v>
      </c>
      <c r="M4086">
        <v>808</v>
      </c>
    </row>
    <row r="4087" spans="1:13">
      <c r="A4087">
        <v>4081</v>
      </c>
      <c r="B4087">
        <v>74746</v>
      </c>
      <c r="C4087" t="s">
        <v>8745</v>
      </c>
      <c r="D4087" t="s">
        <v>218</v>
      </c>
      <c r="E4087" t="s">
        <v>8746</v>
      </c>
      <c r="F4087" t="str">
        <f>"00410322"</f>
        <v>00410322</v>
      </c>
      <c r="G4087" t="s">
        <v>107</v>
      </c>
      <c r="H4087" t="s">
        <v>20</v>
      </c>
      <c r="I4087">
        <v>1472</v>
      </c>
      <c r="J4087" t="s">
        <v>21</v>
      </c>
      <c r="K4087">
        <v>0</v>
      </c>
      <c r="L4087" t="s">
        <v>83</v>
      </c>
      <c r="M4087">
        <v>1228</v>
      </c>
    </row>
    <row r="4088" spans="1:13">
      <c r="A4088">
        <v>4082</v>
      </c>
      <c r="B4088">
        <v>71894</v>
      </c>
      <c r="C4088" t="s">
        <v>8747</v>
      </c>
      <c r="D4088" t="s">
        <v>80</v>
      </c>
      <c r="E4088" t="s">
        <v>8748</v>
      </c>
      <c r="F4088" t="str">
        <f>"00008366"</f>
        <v>00008366</v>
      </c>
      <c r="G4088" t="s">
        <v>67</v>
      </c>
      <c r="H4088" t="s">
        <v>20</v>
      </c>
      <c r="I4088">
        <v>1434</v>
      </c>
      <c r="J4088" t="s">
        <v>21</v>
      </c>
      <c r="K4088">
        <v>0</v>
      </c>
      <c r="L4088" t="s">
        <v>35</v>
      </c>
      <c r="M4088">
        <v>900</v>
      </c>
    </row>
    <row r="4089" spans="1:13">
      <c r="A4089">
        <v>4083</v>
      </c>
      <c r="B4089">
        <v>65906</v>
      </c>
      <c r="C4089" t="s">
        <v>8749</v>
      </c>
      <c r="D4089" t="s">
        <v>811</v>
      </c>
      <c r="E4089" t="s">
        <v>8750</v>
      </c>
      <c r="F4089" t="str">
        <f>"201506003448"</f>
        <v>201506003448</v>
      </c>
      <c r="G4089" t="s">
        <v>255</v>
      </c>
      <c r="H4089" t="s">
        <v>20</v>
      </c>
      <c r="I4089">
        <v>1513</v>
      </c>
      <c r="J4089" t="s">
        <v>21</v>
      </c>
      <c r="K4089">
        <v>6</v>
      </c>
      <c r="L4089" t="s">
        <v>59</v>
      </c>
      <c r="M4089">
        <v>1178</v>
      </c>
    </row>
    <row r="4090" spans="1:13">
      <c r="A4090">
        <v>4084</v>
      </c>
      <c r="B4090">
        <v>60512</v>
      </c>
      <c r="C4090" t="s">
        <v>8751</v>
      </c>
      <c r="D4090" t="s">
        <v>76</v>
      </c>
      <c r="E4090" t="s">
        <v>8752</v>
      </c>
      <c r="F4090" t="str">
        <f>"201511042269"</f>
        <v>201511042269</v>
      </c>
      <c r="G4090" t="s">
        <v>809</v>
      </c>
      <c r="H4090" t="s">
        <v>20</v>
      </c>
      <c r="I4090">
        <v>1504</v>
      </c>
      <c r="J4090" t="s">
        <v>21</v>
      </c>
      <c r="K4090">
        <v>0</v>
      </c>
      <c r="M4090">
        <v>1489</v>
      </c>
    </row>
    <row r="4091" spans="1:13">
      <c r="A4091">
        <v>4085</v>
      </c>
      <c r="B4091">
        <v>96876</v>
      </c>
      <c r="C4091" t="s">
        <v>8753</v>
      </c>
      <c r="D4091" t="s">
        <v>198</v>
      </c>
      <c r="E4091" t="s">
        <v>8754</v>
      </c>
      <c r="F4091" t="str">
        <f>"00255701"</f>
        <v>00255701</v>
      </c>
      <c r="G4091" t="s">
        <v>1753</v>
      </c>
      <c r="H4091" t="s">
        <v>20</v>
      </c>
      <c r="I4091">
        <v>1544</v>
      </c>
      <c r="J4091" t="s">
        <v>21</v>
      </c>
      <c r="K4091">
        <v>0</v>
      </c>
      <c r="M4091">
        <v>1738</v>
      </c>
    </row>
    <row r="4092" spans="1:13">
      <c r="A4092">
        <v>4086</v>
      </c>
      <c r="B4092">
        <v>92441</v>
      </c>
      <c r="C4092" t="s">
        <v>8755</v>
      </c>
      <c r="D4092" t="s">
        <v>566</v>
      </c>
      <c r="E4092" t="s">
        <v>8756</v>
      </c>
      <c r="F4092" t="str">
        <f>"00359556"</f>
        <v>00359556</v>
      </c>
      <c r="G4092" t="s">
        <v>892</v>
      </c>
      <c r="H4092" t="s">
        <v>20</v>
      </c>
      <c r="I4092">
        <v>1410</v>
      </c>
      <c r="J4092" t="s">
        <v>21</v>
      </c>
      <c r="K4092">
        <v>0</v>
      </c>
      <c r="L4092" t="s">
        <v>35</v>
      </c>
      <c r="M4092">
        <v>1108</v>
      </c>
    </row>
    <row r="4093" spans="1:13">
      <c r="A4093">
        <v>4087</v>
      </c>
      <c r="B4093">
        <v>63994</v>
      </c>
      <c r="C4093" t="s">
        <v>8757</v>
      </c>
      <c r="D4093" t="s">
        <v>321</v>
      </c>
      <c r="E4093" t="s">
        <v>8758</v>
      </c>
      <c r="F4093" t="str">
        <f>"00217613"</f>
        <v>00217613</v>
      </c>
      <c r="G4093" t="s">
        <v>302</v>
      </c>
      <c r="H4093" t="s">
        <v>20</v>
      </c>
      <c r="I4093">
        <v>1494</v>
      </c>
      <c r="J4093" t="s">
        <v>21</v>
      </c>
      <c r="K4093">
        <v>0</v>
      </c>
      <c r="M4093">
        <v>1528</v>
      </c>
    </row>
    <row r="4094" spans="1:13">
      <c r="A4094">
        <v>4088</v>
      </c>
      <c r="B4094">
        <v>69107</v>
      </c>
      <c r="C4094" t="s">
        <v>8759</v>
      </c>
      <c r="D4094" t="s">
        <v>76</v>
      </c>
      <c r="E4094" t="s">
        <v>8760</v>
      </c>
      <c r="F4094" t="str">
        <f>"00385943"</f>
        <v>00385943</v>
      </c>
      <c r="G4094" t="s">
        <v>713</v>
      </c>
      <c r="H4094" t="s">
        <v>366</v>
      </c>
      <c r="I4094">
        <v>1690</v>
      </c>
      <c r="J4094" t="s">
        <v>21</v>
      </c>
      <c r="K4094">
        <v>0</v>
      </c>
      <c r="L4094" t="s">
        <v>35</v>
      </c>
      <c r="M4094">
        <v>1008</v>
      </c>
    </row>
    <row r="4095" spans="1:13">
      <c r="A4095">
        <v>4089</v>
      </c>
      <c r="B4095">
        <v>90942</v>
      </c>
      <c r="C4095" t="s">
        <v>8761</v>
      </c>
      <c r="D4095" t="s">
        <v>145</v>
      </c>
      <c r="E4095" t="s">
        <v>8762</v>
      </c>
      <c r="F4095" t="str">
        <f>"201511007720"</f>
        <v>201511007720</v>
      </c>
      <c r="G4095" t="s">
        <v>107</v>
      </c>
      <c r="H4095" t="s">
        <v>20</v>
      </c>
      <c r="I4095">
        <v>1472</v>
      </c>
      <c r="J4095" t="s">
        <v>21</v>
      </c>
      <c r="K4095">
        <v>0</v>
      </c>
      <c r="L4095" t="s">
        <v>35</v>
      </c>
      <c r="M4095">
        <v>908</v>
      </c>
    </row>
    <row r="4096" spans="1:13">
      <c r="A4096">
        <v>4090</v>
      </c>
      <c r="B4096">
        <v>67548</v>
      </c>
      <c r="C4096" t="s">
        <v>8763</v>
      </c>
      <c r="D4096" t="s">
        <v>76</v>
      </c>
      <c r="E4096" t="s">
        <v>8764</v>
      </c>
      <c r="F4096" t="str">
        <f>"00371539"</f>
        <v>00371539</v>
      </c>
      <c r="G4096" t="s">
        <v>184</v>
      </c>
      <c r="H4096" t="s">
        <v>2407</v>
      </c>
      <c r="I4096">
        <v>1617</v>
      </c>
      <c r="J4096" t="s">
        <v>21</v>
      </c>
      <c r="K4096">
        <v>0</v>
      </c>
      <c r="M4096">
        <v>1488</v>
      </c>
    </row>
    <row r="4097" spans="1:13">
      <c r="A4097">
        <v>4091</v>
      </c>
      <c r="B4097">
        <v>113837</v>
      </c>
      <c r="C4097" t="s">
        <v>8765</v>
      </c>
      <c r="D4097" t="s">
        <v>243</v>
      </c>
      <c r="E4097" t="s">
        <v>8766</v>
      </c>
      <c r="F4097" t="str">
        <f>"00410356"</f>
        <v>00410356</v>
      </c>
      <c r="G4097" t="s">
        <v>47</v>
      </c>
      <c r="H4097" t="s">
        <v>48</v>
      </c>
      <c r="I4097">
        <v>1623</v>
      </c>
      <c r="J4097" t="s">
        <v>21</v>
      </c>
      <c r="K4097">
        <v>0</v>
      </c>
      <c r="L4097" t="s">
        <v>112</v>
      </c>
      <c r="M4097">
        <v>808</v>
      </c>
    </row>
    <row r="4098" spans="1:13">
      <c r="A4098">
        <v>4092</v>
      </c>
      <c r="B4098">
        <v>105327</v>
      </c>
      <c r="C4098" t="s">
        <v>8767</v>
      </c>
      <c r="D4098" t="s">
        <v>80</v>
      </c>
      <c r="E4098" t="s">
        <v>8768</v>
      </c>
      <c r="F4098" t="str">
        <f>"00385165"</f>
        <v>00385165</v>
      </c>
      <c r="G4098" t="s">
        <v>395</v>
      </c>
      <c r="H4098" t="s">
        <v>234</v>
      </c>
      <c r="I4098">
        <v>1336</v>
      </c>
      <c r="J4098" t="s">
        <v>21</v>
      </c>
      <c r="K4098">
        <v>0</v>
      </c>
      <c r="L4098" t="s">
        <v>59</v>
      </c>
      <c r="M4098">
        <v>1228</v>
      </c>
    </row>
    <row r="4099" spans="1:13">
      <c r="A4099">
        <v>4093</v>
      </c>
      <c r="B4099">
        <v>75854</v>
      </c>
      <c r="C4099" t="s">
        <v>8769</v>
      </c>
      <c r="D4099" t="s">
        <v>243</v>
      </c>
      <c r="E4099" t="s">
        <v>8770</v>
      </c>
      <c r="F4099" t="str">
        <f>"00395977"</f>
        <v>00395977</v>
      </c>
      <c r="G4099" t="s">
        <v>593</v>
      </c>
      <c r="H4099" t="s">
        <v>20</v>
      </c>
      <c r="I4099">
        <v>1444</v>
      </c>
      <c r="J4099" t="s">
        <v>21</v>
      </c>
      <c r="K4099">
        <v>0</v>
      </c>
      <c r="L4099" t="s">
        <v>35</v>
      </c>
      <c r="M4099">
        <v>1336</v>
      </c>
    </row>
    <row r="4100" spans="1:13">
      <c r="A4100">
        <v>4094</v>
      </c>
      <c r="B4100">
        <v>72010</v>
      </c>
      <c r="C4100" t="s">
        <v>8771</v>
      </c>
      <c r="D4100" t="s">
        <v>1492</v>
      </c>
      <c r="E4100" t="s">
        <v>8772</v>
      </c>
      <c r="F4100" t="str">
        <f>"00398296"</f>
        <v>00398296</v>
      </c>
      <c r="G4100" t="s">
        <v>207</v>
      </c>
      <c r="H4100" t="s">
        <v>20</v>
      </c>
      <c r="I4100">
        <v>1560</v>
      </c>
      <c r="J4100" t="s">
        <v>21</v>
      </c>
      <c r="K4100">
        <v>6</v>
      </c>
      <c r="L4100" t="s">
        <v>59</v>
      </c>
      <c r="M4100">
        <v>1378</v>
      </c>
    </row>
    <row r="4101" spans="1:13">
      <c r="A4101">
        <v>4095</v>
      </c>
      <c r="B4101">
        <v>88509</v>
      </c>
      <c r="C4101" t="s">
        <v>8773</v>
      </c>
      <c r="D4101" t="s">
        <v>700</v>
      </c>
      <c r="E4101" t="s">
        <v>8774</v>
      </c>
      <c r="F4101" t="str">
        <f>"00036229"</f>
        <v>00036229</v>
      </c>
      <c r="G4101" t="s">
        <v>344</v>
      </c>
      <c r="H4101" t="s">
        <v>137</v>
      </c>
      <c r="I4101">
        <v>1614</v>
      </c>
      <c r="J4101" t="s">
        <v>21</v>
      </c>
      <c r="K4101">
        <v>0</v>
      </c>
      <c r="M4101">
        <v>1318</v>
      </c>
    </row>
    <row r="4102" spans="1:13">
      <c r="A4102">
        <v>4096</v>
      </c>
      <c r="B4102">
        <v>83601</v>
      </c>
      <c r="C4102" t="s">
        <v>8775</v>
      </c>
      <c r="D4102" t="s">
        <v>145</v>
      </c>
      <c r="E4102" t="s">
        <v>8776</v>
      </c>
      <c r="F4102" t="str">
        <f>"00401638"</f>
        <v>00401638</v>
      </c>
      <c r="G4102" t="s">
        <v>2440</v>
      </c>
      <c r="H4102" t="s">
        <v>20</v>
      </c>
      <c r="I4102">
        <v>1567</v>
      </c>
      <c r="J4102" t="s">
        <v>21</v>
      </c>
      <c r="K4102">
        <v>0</v>
      </c>
      <c r="M4102">
        <v>1478</v>
      </c>
    </row>
    <row r="4103" spans="1:13">
      <c r="A4103">
        <v>4097</v>
      </c>
      <c r="B4103">
        <v>97169</v>
      </c>
      <c r="C4103" t="s">
        <v>8777</v>
      </c>
      <c r="D4103" t="s">
        <v>8778</v>
      </c>
      <c r="E4103" t="s">
        <v>8779</v>
      </c>
      <c r="F4103" t="str">
        <f>"00400550"</f>
        <v>00400550</v>
      </c>
      <c r="G4103" t="s">
        <v>3121</v>
      </c>
      <c r="H4103" t="s">
        <v>20</v>
      </c>
      <c r="I4103">
        <v>1491</v>
      </c>
      <c r="J4103" t="s">
        <v>21</v>
      </c>
      <c r="K4103">
        <v>0</v>
      </c>
      <c r="M4103">
        <v>1568</v>
      </c>
    </row>
    <row r="4104" spans="1:13">
      <c r="A4104">
        <v>4098</v>
      </c>
      <c r="B4104">
        <v>56744</v>
      </c>
      <c r="C4104" t="s">
        <v>8780</v>
      </c>
      <c r="D4104" t="s">
        <v>8781</v>
      </c>
      <c r="E4104" t="s">
        <v>8782</v>
      </c>
      <c r="F4104" t="str">
        <f>"201511009754"</f>
        <v>201511009754</v>
      </c>
      <c r="G4104" t="s">
        <v>111</v>
      </c>
      <c r="H4104" t="s">
        <v>48</v>
      </c>
      <c r="I4104">
        <v>1620</v>
      </c>
      <c r="J4104" t="s">
        <v>21</v>
      </c>
      <c r="K4104">
        <v>0</v>
      </c>
      <c r="L4104" t="s">
        <v>35</v>
      </c>
      <c r="M4104">
        <v>1008</v>
      </c>
    </row>
    <row r="4105" spans="1:13">
      <c r="A4105">
        <v>4099</v>
      </c>
      <c r="B4105">
        <v>108301</v>
      </c>
      <c r="C4105" t="s">
        <v>8783</v>
      </c>
      <c r="D4105" t="s">
        <v>80</v>
      </c>
      <c r="E4105" t="s">
        <v>8784</v>
      </c>
      <c r="F4105" t="str">
        <f>"00421708"</f>
        <v>00421708</v>
      </c>
      <c r="G4105" t="s">
        <v>1595</v>
      </c>
      <c r="H4105" t="s">
        <v>20</v>
      </c>
      <c r="I4105">
        <v>1538</v>
      </c>
      <c r="J4105" t="s">
        <v>21</v>
      </c>
      <c r="K4105">
        <v>6</v>
      </c>
      <c r="L4105" t="s">
        <v>59</v>
      </c>
      <c r="M4105">
        <v>425</v>
      </c>
    </row>
    <row r="4106" spans="1:13">
      <c r="A4106">
        <v>4100</v>
      </c>
      <c r="B4106">
        <v>72763</v>
      </c>
      <c r="C4106" t="s">
        <v>8785</v>
      </c>
      <c r="D4106" t="s">
        <v>3268</v>
      </c>
      <c r="E4106" t="s">
        <v>8786</v>
      </c>
      <c r="F4106" t="str">
        <f>"00403984"</f>
        <v>00403984</v>
      </c>
      <c r="G4106" t="s">
        <v>215</v>
      </c>
      <c r="H4106" t="s">
        <v>216</v>
      </c>
      <c r="I4106">
        <v>1708</v>
      </c>
      <c r="J4106" t="s">
        <v>21</v>
      </c>
      <c r="K4106">
        <v>6</v>
      </c>
      <c r="L4106" t="s">
        <v>35</v>
      </c>
      <c r="M4106">
        <v>808</v>
      </c>
    </row>
    <row r="4107" spans="1:13">
      <c r="A4107">
        <v>4101</v>
      </c>
      <c r="B4107">
        <v>102192</v>
      </c>
      <c r="C4107" t="s">
        <v>8787</v>
      </c>
      <c r="D4107" t="s">
        <v>905</v>
      </c>
      <c r="E4107" t="s">
        <v>8788</v>
      </c>
      <c r="F4107" t="str">
        <f>"00380442"</f>
        <v>00380442</v>
      </c>
      <c r="G4107" t="s">
        <v>1263</v>
      </c>
      <c r="H4107" t="s">
        <v>20</v>
      </c>
      <c r="I4107">
        <v>1542</v>
      </c>
      <c r="J4107" t="s">
        <v>21</v>
      </c>
      <c r="K4107">
        <v>6</v>
      </c>
      <c r="L4107" t="s">
        <v>35</v>
      </c>
      <c r="M4107">
        <v>1108</v>
      </c>
    </row>
    <row r="4108" spans="1:13">
      <c r="A4108">
        <v>4102</v>
      </c>
      <c r="B4108">
        <v>61184</v>
      </c>
      <c r="C4108" t="s">
        <v>8789</v>
      </c>
      <c r="D4108" t="s">
        <v>243</v>
      </c>
      <c r="E4108" t="s">
        <v>8790</v>
      </c>
      <c r="F4108" t="str">
        <f>"00385010"</f>
        <v>00385010</v>
      </c>
      <c r="G4108" t="s">
        <v>2025</v>
      </c>
      <c r="H4108" t="s">
        <v>20</v>
      </c>
      <c r="I4108">
        <v>1570</v>
      </c>
      <c r="J4108" t="s">
        <v>21</v>
      </c>
      <c r="K4108">
        <v>6</v>
      </c>
      <c r="L4108" t="s">
        <v>35</v>
      </c>
      <c r="M4108">
        <v>1055</v>
      </c>
    </row>
    <row r="4109" spans="1:13">
      <c r="A4109">
        <v>4103</v>
      </c>
      <c r="B4109">
        <v>98205</v>
      </c>
      <c r="C4109" t="s">
        <v>8791</v>
      </c>
      <c r="D4109" t="s">
        <v>218</v>
      </c>
      <c r="E4109" t="s">
        <v>8792</v>
      </c>
      <c r="F4109" t="str">
        <f>"00345074"</f>
        <v>00345074</v>
      </c>
      <c r="G4109" t="s">
        <v>47</v>
      </c>
      <c r="H4109" t="s">
        <v>48</v>
      </c>
      <c r="I4109">
        <v>1623</v>
      </c>
      <c r="J4109" t="s">
        <v>21</v>
      </c>
      <c r="K4109">
        <v>0</v>
      </c>
      <c r="L4109" t="s">
        <v>35</v>
      </c>
      <c r="M4109">
        <v>857</v>
      </c>
    </row>
    <row r="4110" spans="1:13">
      <c r="A4110">
        <v>4104</v>
      </c>
      <c r="B4110">
        <v>73283</v>
      </c>
      <c r="C4110" t="s">
        <v>8793</v>
      </c>
      <c r="D4110" t="s">
        <v>8794</v>
      </c>
      <c r="E4110" t="s">
        <v>8795</v>
      </c>
      <c r="F4110" t="str">
        <f>"00284036"</f>
        <v>00284036</v>
      </c>
      <c r="G4110" t="s">
        <v>24</v>
      </c>
      <c r="H4110" t="s">
        <v>20</v>
      </c>
      <c r="I4110">
        <v>1577</v>
      </c>
      <c r="J4110" t="s">
        <v>21</v>
      </c>
      <c r="K4110">
        <v>0</v>
      </c>
      <c r="L4110" t="s">
        <v>2884</v>
      </c>
      <c r="M4110">
        <v>758</v>
      </c>
    </row>
    <row r="4111" spans="1:13">
      <c r="A4111">
        <v>4105</v>
      </c>
      <c r="B4111">
        <v>60405</v>
      </c>
      <c r="C4111" t="s">
        <v>8796</v>
      </c>
      <c r="D4111" t="s">
        <v>243</v>
      </c>
      <c r="E4111" t="s">
        <v>8797</v>
      </c>
      <c r="F4111" t="str">
        <f>"00350238"</f>
        <v>00350238</v>
      </c>
      <c r="G4111" t="s">
        <v>2055</v>
      </c>
      <c r="H4111" t="s">
        <v>1296</v>
      </c>
      <c r="I4111">
        <v>1637</v>
      </c>
      <c r="J4111" t="s">
        <v>21</v>
      </c>
      <c r="K4111">
        <v>0</v>
      </c>
      <c r="M4111">
        <v>1338</v>
      </c>
    </row>
    <row r="4112" spans="1:13">
      <c r="A4112">
        <v>4106</v>
      </c>
      <c r="B4112">
        <v>91353</v>
      </c>
      <c r="C4112" t="s">
        <v>8798</v>
      </c>
      <c r="D4112" t="s">
        <v>153</v>
      </c>
      <c r="E4112" t="s">
        <v>8799</v>
      </c>
      <c r="F4112" t="str">
        <f>"00415569"</f>
        <v>00415569</v>
      </c>
      <c r="G4112" t="s">
        <v>107</v>
      </c>
      <c r="H4112" t="s">
        <v>20</v>
      </c>
      <c r="I4112">
        <v>1472</v>
      </c>
      <c r="J4112" t="s">
        <v>21</v>
      </c>
      <c r="K4112">
        <v>0</v>
      </c>
      <c r="M4112">
        <v>1368</v>
      </c>
    </row>
    <row r="4113" spans="1:13">
      <c r="A4113">
        <v>4107</v>
      </c>
      <c r="B4113">
        <v>69801</v>
      </c>
      <c r="C4113" t="s">
        <v>8800</v>
      </c>
      <c r="D4113" t="s">
        <v>76</v>
      </c>
      <c r="E4113" t="s">
        <v>8801</v>
      </c>
      <c r="F4113" t="str">
        <f>"00375869"</f>
        <v>00375869</v>
      </c>
      <c r="G4113" t="s">
        <v>2851</v>
      </c>
      <c r="H4113" t="s">
        <v>274</v>
      </c>
      <c r="I4113">
        <v>1394</v>
      </c>
      <c r="J4113" t="s">
        <v>21</v>
      </c>
      <c r="K4113">
        <v>0</v>
      </c>
      <c r="M4113">
        <v>1385</v>
      </c>
    </row>
    <row r="4114" spans="1:13">
      <c r="A4114">
        <v>4108</v>
      </c>
      <c r="B4114">
        <v>85129</v>
      </c>
      <c r="C4114" t="s">
        <v>8802</v>
      </c>
      <c r="D4114" t="s">
        <v>180</v>
      </c>
      <c r="E4114" t="s">
        <v>8803</v>
      </c>
      <c r="F4114" t="str">
        <f>"00241584"</f>
        <v>00241584</v>
      </c>
      <c r="G4114" t="s">
        <v>375</v>
      </c>
      <c r="H4114" t="s">
        <v>20</v>
      </c>
      <c r="I4114">
        <v>1516</v>
      </c>
      <c r="J4114" t="s">
        <v>21</v>
      </c>
      <c r="K4114">
        <v>0</v>
      </c>
      <c r="L4114" t="s">
        <v>88</v>
      </c>
      <c r="M4114">
        <v>591</v>
      </c>
    </row>
    <row r="4115" spans="1:13">
      <c r="A4115">
        <v>4109</v>
      </c>
      <c r="B4115">
        <v>48461</v>
      </c>
      <c r="C4115" t="s">
        <v>8804</v>
      </c>
      <c r="D4115" t="s">
        <v>180</v>
      </c>
      <c r="E4115" t="s">
        <v>8805</v>
      </c>
      <c r="F4115" t="str">
        <f>"00258465"</f>
        <v>00258465</v>
      </c>
      <c r="G4115" t="s">
        <v>497</v>
      </c>
      <c r="H4115" t="s">
        <v>274</v>
      </c>
      <c r="I4115">
        <v>1398</v>
      </c>
      <c r="J4115" t="s">
        <v>21</v>
      </c>
      <c r="K4115">
        <v>6</v>
      </c>
      <c r="M4115">
        <v>1484</v>
      </c>
    </row>
    <row r="4116" spans="1:13">
      <c r="A4116">
        <v>4110</v>
      </c>
      <c r="B4116">
        <v>76058</v>
      </c>
      <c r="C4116" t="s">
        <v>8806</v>
      </c>
      <c r="D4116" t="s">
        <v>243</v>
      </c>
      <c r="E4116" t="s">
        <v>8807</v>
      </c>
      <c r="F4116" t="str">
        <f>"00397731"</f>
        <v>00397731</v>
      </c>
      <c r="G4116" t="s">
        <v>497</v>
      </c>
      <c r="H4116" t="s">
        <v>274</v>
      </c>
      <c r="I4116">
        <v>1398</v>
      </c>
      <c r="J4116" t="s">
        <v>21</v>
      </c>
      <c r="K4116">
        <v>6</v>
      </c>
      <c r="M4116">
        <v>1538</v>
      </c>
    </row>
    <row r="4117" spans="1:13">
      <c r="A4117">
        <v>4111</v>
      </c>
      <c r="B4117">
        <v>70483</v>
      </c>
      <c r="C4117" t="s">
        <v>8806</v>
      </c>
      <c r="D4117" t="s">
        <v>85</v>
      </c>
      <c r="E4117" t="s">
        <v>8808</v>
      </c>
      <c r="F4117" t="str">
        <f>"00376255"</f>
        <v>00376255</v>
      </c>
      <c r="G4117" t="s">
        <v>278</v>
      </c>
      <c r="H4117" t="s">
        <v>1499</v>
      </c>
      <c r="I4117">
        <v>1597</v>
      </c>
      <c r="J4117" t="s">
        <v>21</v>
      </c>
      <c r="K4117">
        <v>0</v>
      </c>
      <c r="M4117">
        <v>1504</v>
      </c>
    </row>
    <row r="4118" spans="1:13">
      <c r="A4118">
        <v>4112</v>
      </c>
      <c r="B4118">
        <v>94835</v>
      </c>
      <c r="C4118" t="s">
        <v>8809</v>
      </c>
      <c r="D4118" t="s">
        <v>180</v>
      </c>
      <c r="E4118" t="s">
        <v>8810</v>
      </c>
      <c r="F4118" t="str">
        <f>"00185835"</f>
        <v>00185835</v>
      </c>
      <c r="G4118" t="s">
        <v>284</v>
      </c>
      <c r="H4118" t="s">
        <v>270</v>
      </c>
      <c r="I4118">
        <v>1586</v>
      </c>
      <c r="J4118" t="s">
        <v>21</v>
      </c>
      <c r="K4118">
        <v>0</v>
      </c>
      <c r="L4118" t="s">
        <v>35</v>
      </c>
      <c r="M4118">
        <v>1000</v>
      </c>
    </row>
    <row r="4119" spans="1:13">
      <c r="A4119">
        <v>4113</v>
      </c>
      <c r="B4119">
        <v>111288</v>
      </c>
      <c r="C4119" t="s">
        <v>8811</v>
      </c>
      <c r="D4119" t="s">
        <v>98</v>
      </c>
      <c r="E4119" t="s">
        <v>8812</v>
      </c>
      <c r="F4119" t="str">
        <f>"00415481"</f>
        <v>00415481</v>
      </c>
      <c r="G4119" t="s">
        <v>2164</v>
      </c>
      <c r="H4119" t="s">
        <v>20</v>
      </c>
      <c r="I4119">
        <v>1495</v>
      </c>
      <c r="J4119" t="s">
        <v>21</v>
      </c>
      <c r="K4119">
        <v>6</v>
      </c>
      <c r="M4119">
        <v>2028</v>
      </c>
    </row>
    <row r="4120" spans="1:13">
      <c r="A4120">
        <v>4114</v>
      </c>
      <c r="B4120">
        <v>91533</v>
      </c>
      <c r="C4120" t="s">
        <v>8813</v>
      </c>
      <c r="D4120" t="s">
        <v>249</v>
      </c>
      <c r="E4120" t="s">
        <v>8814</v>
      </c>
      <c r="F4120" t="str">
        <f>"201004000096"</f>
        <v>201004000096</v>
      </c>
      <c r="G4120" t="s">
        <v>371</v>
      </c>
      <c r="H4120" t="s">
        <v>20</v>
      </c>
      <c r="I4120">
        <v>1526</v>
      </c>
      <c r="J4120" t="s">
        <v>21</v>
      </c>
      <c r="K4120">
        <v>0</v>
      </c>
      <c r="L4120" t="s">
        <v>112</v>
      </c>
      <c r="M4120">
        <v>808</v>
      </c>
    </row>
    <row r="4121" spans="1:13">
      <c r="A4121">
        <v>4115</v>
      </c>
      <c r="B4121">
        <v>75896</v>
      </c>
      <c r="C4121" t="s">
        <v>8815</v>
      </c>
      <c r="D4121" t="s">
        <v>98</v>
      </c>
      <c r="E4121" t="s">
        <v>8816</v>
      </c>
      <c r="F4121" t="str">
        <f>"00349239"</f>
        <v>00349239</v>
      </c>
      <c r="G4121" t="s">
        <v>107</v>
      </c>
      <c r="H4121" t="s">
        <v>20</v>
      </c>
      <c r="I4121">
        <v>1472</v>
      </c>
      <c r="J4121" t="s">
        <v>21</v>
      </c>
      <c r="K4121">
        <v>0</v>
      </c>
      <c r="L4121" t="s">
        <v>35</v>
      </c>
      <c r="M4121">
        <v>995</v>
      </c>
    </row>
    <row r="4122" spans="1:13">
      <c r="A4122">
        <v>4116</v>
      </c>
      <c r="B4122">
        <v>77560</v>
      </c>
      <c r="C4122" t="s">
        <v>8817</v>
      </c>
      <c r="D4122" t="s">
        <v>80</v>
      </c>
      <c r="E4122" t="s">
        <v>8818</v>
      </c>
      <c r="F4122" t="str">
        <f>"00411026"</f>
        <v>00411026</v>
      </c>
      <c r="G4122" t="s">
        <v>107</v>
      </c>
      <c r="H4122" t="s">
        <v>20</v>
      </c>
      <c r="I4122">
        <v>1472</v>
      </c>
      <c r="J4122" t="s">
        <v>21</v>
      </c>
      <c r="K4122">
        <v>0</v>
      </c>
      <c r="L4122" t="s">
        <v>35</v>
      </c>
      <c r="M4122">
        <v>1150</v>
      </c>
    </row>
    <row r="4123" spans="1:13">
      <c r="A4123">
        <v>4117</v>
      </c>
      <c r="B4123">
        <v>111069</v>
      </c>
      <c r="C4123" t="s">
        <v>8819</v>
      </c>
      <c r="D4123" t="s">
        <v>80</v>
      </c>
      <c r="E4123" t="s">
        <v>8820</v>
      </c>
      <c r="F4123" t="str">
        <f>"00409615"</f>
        <v>00409615</v>
      </c>
      <c r="G4123" t="s">
        <v>856</v>
      </c>
      <c r="H4123" t="s">
        <v>366</v>
      </c>
      <c r="I4123">
        <v>1706</v>
      </c>
      <c r="J4123" t="s">
        <v>21</v>
      </c>
      <c r="K4123">
        <v>0</v>
      </c>
      <c r="M4123">
        <v>1368</v>
      </c>
    </row>
    <row r="4124" spans="1:13">
      <c r="A4124">
        <v>4118</v>
      </c>
      <c r="B4124">
        <v>55827</v>
      </c>
      <c r="C4124" t="s">
        <v>8821</v>
      </c>
      <c r="D4124" t="s">
        <v>726</v>
      </c>
      <c r="E4124" t="s">
        <v>8822</v>
      </c>
      <c r="F4124" t="str">
        <f>"00246713"</f>
        <v>00246713</v>
      </c>
      <c r="G4124" t="s">
        <v>107</v>
      </c>
      <c r="H4124" t="s">
        <v>20</v>
      </c>
      <c r="I4124">
        <v>1472</v>
      </c>
      <c r="J4124" t="s">
        <v>21</v>
      </c>
      <c r="K4124">
        <v>0</v>
      </c>
      <c r="M4124">
        <v>1728</v>
      </c>
    </row>
    <row r="4125" spans="1:13">
      <c r="A4125">
        <v>4119</v>
      </c>
      <c r="B4125">
        <v>99992</v>
      </c>
      <c r="C4125" t="s">
        <v>8823</v>
      </c>
      <c r="D4125" t="s">
        <v>373</v>
      </c>
      <c r="E4125" t="s">
        <v>8824</v>
      </c>
      <c r="F4125" t="str">
        <f>"00398151"</f>
        <v>00398151</v>
      </c>
      <c r="G4125" t="s">
        <v>2458</v>
      </c>
      <c r="H4125" t="s">
        <v>270</v>
      </c>
      <c r="I4125">
        <v>1584</v>
      </c>
      <c r="J4125" t="s">
        <v>21</v>
      </c>
      <c r="K4125">
        <v>0</v>
      </c>
      <c r="M4125">
        <v>1644</v>
      </c>
    </row>
    <row r="4126" spans="1:13">
      <c r="A4126">
        <v>4120</v>
      </c>
      <c r="B4126">
        <v>81475</v>
      </c>
      <c r="C4126" t="s">
        <v>8825</v>
      </c>
      <c r="D4126" t="s">
        <v>218</v>
      </c>
      <c r="E4126" t="s">
        <v>8826</v>
      </c>
      <c r="F4126" t="str">
        <f>"201511021021"</f>
        <v>201511021021</v>
      </c>
      <c r="G4126" t="s">
        <v>47</v>
      </c>
      <c r="H4126" t="s">
        <v>48</v>
      </c>
      <c r="I4126">
        <v>1623</v>
      </c>
      <c r="J4126" t="s">
        <v>21</v>
      </c>
      <c r="K4126">
        <v>0</v>
      </c>
      <c r="L4126" t="s">
        <v>35</v>
      </c>
      <c r="M4126">
        <v>1075</v>
      </c>
    </row>
    <row r="4127" spans="1:13">
      <c r="A4127">
        <v>4121</v>
      </c>
      <c r="B4127">
        <v>50805</v>
      </c>
      <c r="C4127" t="s">
        <v>8827</v>
      </c>
      <c r="D4127" t="s">
        <v>145</v>
      </c>
      <c r="E4127" t="s">
        <v>8828</v>
      </c>
      <c r="F4127" t="str">
        <f>"00157607"</f>
        <v>00157607</v>
      </c>
      <c r="G4127" t="s">
        <v>1742</v>
      </c>
      <c r="H4127" t="s">
        <v>241</v>
      </c>
      <c r="I4127">
        <v>1365</v>
      </c>
      <c r="J4127" t="s">
        <v>21</v>
      </c>
      <c r="K4127">
        <v>0</v>
      </c>
      <c r="M4127">
        <v>1360</v>
      </c>
    </row>
    <row r="4128" spans="1:13">
      <c r="A4128">
        <v>4122</v>
      </c>
      <c r="B4128">
        <v>85751</v>
      </c>
      <c r="C4128" t="s">
        <v>8829</v>
      </c>
      <c r="D4128" t="s">
        <v>102</v>
      </c>
      <c r="E4128" t="s">
        <v>8830</v>
      </c>
      <c r="F4128" t="str">
        <f>"00401665"</f>
        <v>00401665</v>
      </c>
      <c r="G4128" t="s">
        <v>107</v>
      </c>
      <c r="H4128" t="s">
        <v>20</v>
      </c>
      <c r="I4128">
        <v>1472</v>
      </c>
      <c r="J4128" t="s">
        <v>21</v>
      </c>
      <c r="K4128">
        <v>0</v>
      </c>
      <c r="L4128" t="s">
        <v>59</v>
      </c>
      <c r="M4128">
        <v>974</v>
      </c>
    </row>
    <row r="4129" spans="1:13">
      <c r="A4129">
        <v>4123</v>
      </c>
      <c r="B4129">
        <v>100588</v>
      </c>
      <c r="C4129" t="s">
        <v>8831</v>
      </c>
      <c r="D4129" t="s">
        <v>243</v>
      </c>
      <c r="E4129" t="s">
        <v>8832</v>
      </c>
      <c r="F4129" t="str">
        <f>"00308175"</f>
        <v>00308175</v>
      </c>
      <c r="G4129" t="s">
        <v>19</v>
      </c>
      <c r="H4129" t="s">
        <v>20</v>
      </c>
      <c r="I4129">
        <v>1531</v>
      </c>
      <c r="J4129" t="s">
        <v>21</v>
      </c>
      <c r="K4129">
        <v>0</v>
      </c>
      <c r="L4129" t="s">
        <v>35</v>
      </c>
      <c r="M4129">
        <v>908</v>
      </c>
    </row>
    <row r="4130" spans="1:13">
      <c r="A4130">
        <v>4124</v>
      </c>
      <c r="B4130">
        <v>48682</v>
      </c>
      <c r="C4130" t="s">
        <v>8833</v>
      </c>
      <c r="D4130" t="s">
        <v>105</v>
      </c>
      <c r="E4130" t="s">
        <v>8834</v>
      </c>
      <c r="F4130" t="str">
        <f>"00339180"</f>
        <v>00339180</v>
      </c>
      <c r="G4130" t="s">
        <v>6211</v>
      </c>
      <c r="H4130" t="s">
        <v>1610</v>
      </c>
      <c r="I4130">
        <v>1314</v>
      </c>
      <c r="J4130" t="s">
        <v>21</v>
      </c>
      <c r="K4130">
        <v>0</v>
      </c>
      <c r="L4130" t="s">
        <v>35</v>
      </c>
      <c r="M4130">
        <v>1100</v>
      </c>
    </row>
    <row r="4131" spans="1:13">
      <c r="A4131">
        <v>4125</v>
      </c>
      <c r="B4131">
        <v>50648</v>
      </c>
      <c r="C4131" t="s">
        <v>8835</v>
      </c>
      <c r="D4131" t="s">
        <v>218</v>
      </c>
      <c r="E4131" t="s">
        <v>8836</v>
      </c>
      <c r="F4131" t="str">
        <f>"201502001764"</f>
        <v>201502001764</v>
      </c>
      <c r="G4131" t="s">
        <v>211</v>
      </c>
      <c r="H4131" t="s">
        <v>48</v>
      </c>
      <c r="I4131">
        <v>1628</v>
      </c>
      <c r="J4131" t="s">
        <v>21</v>
      </c>
      <c r="K4131">
        <v>0</v>
      </c>
      <c r="L4131" t="s">
        <v>35</v>
      </c>
      <c r="M4131">
        <v>900</v>
      </c>
    </row>
    <row r="4132" spans="1:13">
      <c r="A4132">
        <v>4126</v>
      </c>
      <c r="B4132">
        <v>78109</v>
      </c>
      <c r="C4132" t="s">
        <v>8837</v>
      </c>
      <c r="D4132" t="s">
        <v>180</v>
      </c>
      <c r="E4132" t="s">
        <v>8838</v>
      </c>
      <c r="F4132" t="str">
        <f>"00225111"</f>
        <v>00225111</v>
      </c>
      <c r="G4132" t="s">
        <v>107</v>
      </c>
      <c r="H4132" t="s">
        <v>20</v>
      </c>
      <c r="I4132">
        <v>1472</v>
      </c>
      <c r="J4132" t="s">
        <v>21</v>
      </c>
      <c r="K4132">
        <v>0</v>
      </c>
      <c r="L4132" t="s">
        <v>35</v>
      </c>
      <c r="M4132">
        <v>950</v>
      </c>
    </row>
    <row r="4133" spans="1:13">
      <c r="A4133">
        <v>4127</v>
      </c>
      <c r="B4133">
        <v>86522</v>
      </c>
      <c r="C4133" t="s">
        <v>8839</v>
      </c>
      <c r="D4133" t="s">
        <v>180</v>
      </c>
      <c r="E4133" t="s">
        <v>8840</v>
      </c>
      <c r="F4133" t="str">
        <f>"00355272"</f>
        <v>00355272</v>
      </c>
      <c r="G4133" t="s">
        <v>245</v>
      </c>
      <c r="H4133" t="s">
        <v>20</v>
      </c>
      <c r="I4133">
        <v>1406</v>
      </c>
      <c r="J4133" t="s">
        <v>21</v>
      </c>
      <c r="K4133">
        <v>0</v>
      </c>
      <c r="M4133">
        <v>1363</v>
      </c>
    </row>
    <row r="4134" spans="1:13">
      <c r="A4134">
        <v>4128</v>
      </c>
      <c r="B4134">
        <v>113391</v>
      </c>
      <c r="C4134" t="s">
        <v>8841</v>
      </c>
      <c r="D4134" t="s">
        <v>80</v>
      </c>
      <c r="E4134" t="s">
        <v>8842</v>
      </c>
      <c r="F4134" t="str">
        <f>"00103669"</f>
        <v>00103669</v>
      </c>
      <c r="G4134" t="s">
        <v>47</v>
      </c>
      <c r="H4134" t="s">
        <v>48</v>
      </c>
      <c r="I4134">
        <v>1623</v>
      </c>
      <c r="J4134" t="s">
        <v>21</v>
      </c>
      <c r="K4134">
        <v>0</v>
      </c>
      <c r="M4134">
        <v>1338</v>
      </c>
    </row>
    <row r="4135" spans="1:13">
      <c r="A4135">
        <v>4129</v>
      </c>
      <c r="B4135">
        <v>116838</v>
      </c>
      <c r="C4135" t="s">
        <v>8843</v>
      </c>
      <c r="D4135" t="s">
        <v>2823</v>
      </c>
      <c r="E4135" t="s">
        <v>8844</v>
      </c>
      <c r="F4135" t="str">
        <f>"00418202"</f>
        <v>00418202</v>
      </c>
      <c r="G4135" t="s">
        <v>626</v>
      </c>
      <c r="H4135" t="s">
        <v>234</v>
      </c>
      <c r="I4135">
        <v>1327</v>
      </c>
      <c r="J4135" t="s">
        <v>21</v>
      </c>
      <c r="K4135">
        <v>0</v>
      </c>
      <c r="L4135" t="s">
        <v>35</v>
      </c>
      <c r="M4135">
        <v>1208</v>
      </c>
    </row>
    <row r="4136" spans="1:13">
      <c r="A4136">
        <v>4130</v>
      </c>
      <c r="B4136">
        <v>52851</v>
      </c>
      <c r="C4136" t="s">
        <v>8845</v>
      </c>
      <c r="D4136" t="s">
        <v>80</v>
      </c>
      <c r="E4136" t="s">
        <v>8846</v>
      </c>
      <c r="F4136" t="str">
        <f>"00236634"</f>
        <v>00236634</v>
      </c>
      <c r="G4136" t="s">
        <v>352</v>
      </c>
      <c r="H4136" t="s">
        <v>20</v>
      </c>
      <c r="I4136">
        <v>1471</v>
      </c>
      <c r="J4136" t="s">
        <v>21</v>
      </c>
      <c r="K4136">
        <v>0</v>
      </c>
      <c r="L4136" t="s">
        <v>83</v>
      </c>
      <c r="M4136">
        <v>1288</v>
      </c>
    </row>
    <row r="4137" spans="1:13">
      <c r="A4137">
        <v>4131</v>
      </c>
      <c r="B4137">
        <v>80184</v>
      </c>
      <c r="C4137" t="s">
        <v>8847</v>
      </c>
      <c r="D4137" t="s">
        <v>105</v>
      </c>
      <c r="E4137" t="s">
        <v>8848</v>
      </c>
      <c r="F4137" t="str">
        <f>"201511029067"</f>
        <v>201511029067</v>
      </c>
      <c r="G4137" t="s">
        <v>47</v>
      </c>
      <c r="H4137" t="s">
        <v>48</v>
      </c>
      <c r="I4137">
        <v>1623</v>
      </c>
      <c r="J4137" t="s">
        <v>21</v>
      </c>
      <c r="K4137">
        <v>0</v>
      </c>
      <c r="L4137" t="s">
        <v>88</v>
      </c>
      <c r="M4137">
        <v>561</v>
      </c>
    </row>
    <row r="4138" spans="1:13">
      <c r="A4138">
        <v>4132</v>
      </c>
      <c r="B4138">
        <v>47997</v>
      </c>
      <c r="C4138" t="s">
        <v>8849</v>
      </c>
      <c r="D4138" t="s">
        <v>444</v>
      </c>
      <c r="E4138" t="s">
        <v>8850</v>
      </c>
      <c r="F4138" t="str">
        <f>"00367093"</f>
        <v>00367093</v>
      </c>
      <c r="G4138" t="s">
        <v>230</v>
      </c>
      <c r="H4138" t="s">
        <v>20</v>
      </c>
      <c r="I4138">
        <v>1545</v>
      </c>
      <c r="J4138" t="s">
        <v>21</v>
      </c>
      <c r="K4138">
        <v>0</v>
      </c>
      <c r="L4138" t="s">
        <v>401</v>
      </c>
      <c r="M4138">
        <v>1051</v>
      </c>
    </row>
    <row r="4139" spans="1:13">
      <c r="A4139">
        <v>4133</v>
      </c>
      <c r="B4139">
        <v>93691</v>
      </c>
      <c r="C4139" t="s">
        <v>8851</v>
      </c>
      <c r="D4139" t="s">
        <v>7321</v>
      </c>
      <c r="E4139" t="s">
        <v>8852</v>
      </c>
      <c r="F4139" t="str">
        <f>"00097011"</f>
        <v>00097011</v>
      </c>
      <c r="G4139" t="s">
        <v>488</v>
      </c>
      <c r="H4139" t="s">
        <v>20</v>
      </c>
      <c r="I4139">
        <v>1482</v>
      </c>
      <c r="J4139" t="s">
        <v>21</v>
      </c>
      <c r="K4139">
        <v>0</v>
      </c>
      <c r="M4139">
        <v>1378</v>
      </c>
    </row>
    <row r="4140" spans="1:13">
      <c r="A4140">
        <v>4134</v>
      </c>
      <c r="B4140">
        <v>73702</v>
      </c>
      <c r="C4140" t="s">
        <v>8853</v>
      </c>
      <c r="D4140" t="s">
        <v>492</v>
      </c>
      <c r="E4140" t="s">
        <v>8854</v>
      </c>
      <c r="F4140" t="str">
        <f>"00395121"</f>
        <v>00395121</v>
      </c>
      <c r="G4140" t="s">
        <v>96</v>
      </c>
      <c r="H4140" t="s">
        <v>20</v>
      </c>
      <c r="I4140">
        <v>1474</v>
      </c>
      <c r="J4140" t="s">
        <v>21</v>
      </c>
      <c r="K4140">
        <v>0</v>
      </c>
      <c r="L4140" t="s">
        <v>59</v>
      </c>
      <c r="M4140">
        <v>1101</v>
      </c>
    </row>
    <row r="4141" spans="1:13">
      <c r="A4141">
        <v>4135</v>
      </c>
      <c r="B4141">
        <v>109713</v>
      </c>
      <c r="C4141" t="s">
        <v>8855</v>
      </c>
      <c r="D4141" t="s">
        <v>243</v>
      </c>
      <c r="E4141" t="s">
        <v>8856</v>
      </c>
      <c r="F4141" t="str">
        <f>"00393372"</f>
        <v>00393372</v>
      </c>
      <c r="G4141" t="s">
        <v>258</v>
      </c>
      <c r="H4141" t="s">
        <v>20</v>
      </c>
      <c r="I4141">
        <v>1484</v>
      </c>
      <c r="J4141" t="s">
        <v>21</v>
      </c>
      <c r="K4141">
        <v>0</v>
      </c>
      <c r="L4141" t="s">
        <v>35</v>
      </c>
      <c r="M4141">
        <v>870</v>
      </c>
    </row>
    <row r="4142" spans="1:13">
      <c r="A4142">
        <v>4136</v>
      </c>
      <c r="B4142">
        <v>57516</v>
      </c>
      <c r="C4142" t="s">
        <v>8857</v>
      </c>
      <c r="D4142" t="s">
        <v>121</v>
      </c>
      <c r="E4142" t="s">
        <v>8858</v>
      </c>
      <c r="F4142" t="str">
        <f>"201604004410"</f>
        <v>201604004410</v>
      </c>
      <c r="G4142" t="s">
        <v>371</v>
      </c>
      <c r="H4142" t="s">
        <v>20</v>
      </c>
      <c r="I4142">
        <v>1526</v>
      </c>
      <c r="J4142" t="s">
        <v>21</v>
      </c>
      <c r="K4142">
        <v>6</v>
      </c>
      <c r="M4142">
        <v>1078</v>
      </c>
    </row>
    <row r="4143" spans="1:13">
      <c r="A4143">
        <v>4137</v>
      </c>
      <c r="B4143">
        <v>50881</v>
      </c>
      <c r="C4143" t="s">
        <v>8859</v>
      </c>
      <c r="D4143" t="s">
        <v>90</v>
      </c>
      <c r="E4143" t="s">
        <v>8860</v>
      </c>
      <c r="F4143" t="str">
        <f>"00336721"</f>
        <v>00336721</v>
      </c>
      <c r="G4143" t="s">
        <v>125</v>
      </c>
      <c r="H4143" t="s">
        <v>20</v>
      </c>
      <c r="I4143">
        <v>1507</v>
      </c>
      <c r="J4143" t="s">
        <v>21</v>
      </c>
      <c r="K4143">
        <v>0</v>
      </c>
      <c r="L4143" t="s">
        <v>35</v>
      </c>
      <c r="M4143">
        <v>1008</v>
      </c>
    </row>
    <row r="4144" spans="1:13">
      <c r="A4144">
        <v>4138</v>
      </c>
      <c r="B4144">
        <v>86133</v>
      </c>
      <c r="C4144" t="s">
        <v>8861</v>
      </c>
      <c r="D4144" t="s">
        <v>85</v>
      </c>
      <c r="E4144" t="s">
        <v>8862</v>
      </c>
      <c r="F4144" t="str">
        <f>"00408505"</f>
        <v>00408505</v>
      </c>
      <c r="G4144" t="s">
        <v>2440</v>
      </c>
      <c r="H4144" t="s">
        <v>20</v>
      </c>
      <c r="I4144">
        <v>1567</v>
      </c>
      <c r="J4144" t="s">
        <v>21</v>
      </c>
      <c r="K4144">
        <v>0</v>
      </c>
      <c r="M4144">
        <v>1548</v>
      </c>
    </row>
    <row r="4145" spans="1:13">
      <c r="A4145">
        <v>4139</v>
      </c>
      <c r="B4145">
        <v>88421</v>
      </c>
      <c r="C4145" t="s">
        <v>8863</v>
      </c>
      <c r="D4145" t="s">
        <v>180</v>
      </c>
      <c r="E4145" t="s">
        <v>8864</v>
      </c>
      <c r="F4145" t="str">
        <f>"00418155"</f>
        <v>00418155</v>
      </c>
      <c r="G4145" t="s">
        <v>278</v>
      </c>
      <c r="H4145" t="s">
        <v>20</v>
      </c>
      <c r="I4145">
        <v>1441</v>
      </c>
      <c r="J4145" t="s">
        <v>21</v>
      </c>
      <c r="K4145">
        <v>0</v>
      </c>
      <c r="M4145">
        <v>1528</v>
      </c>
    </row>
    <row r="4146" spans="1:13">
      <c r="A4146">
        <v>4140</v>
      </c>
      <c r="B4146">
        <v>49788</v>
      </c>
      <c r="C4146" t="s">
        <v>8865</v>
      </c>
      <c r="D4146" t="s">
        <v>2170</v>
      </c>
      <c r="E4146" t="s">
        <v>8866</v>
      </c>
      <c r="F4146" t="str">
        <f>"201406004987"</f>
        <v>201406004987</v>
      </c>
      <c r="G4146" t="s">
        <v>258</v>
      </c>
      <c r="H4146" t="s">
        <v>20</v>
      </c>
      <c r="I4146">
        <v>1484</v>
      </c>
      <c r="J4146" t="s">
        <v>21</v>
      </c>
      <c r="K4146">
        <v>0</v>
      </c>
      <c r="L4146" t="s">
        <v>35</v>
      </c>
      <c r="M4146">
        <v>1200</v>
      </c>
    </row>
    <row r="4147" spans="1:13">
      <c r="A4147">
        <v>4141</v>
      </c>
      <c r="B4147">
        <v>91071</v>
      </c>
      <c r="C4147" t="s">
        <v>8867</v>
      </c>
      <c r="D4147" t="s">
        <v>105</v>
      </c>
      <c r="E4147" t="s">
        <v>8868</v>
      </c>
      <c r="F4147" t="str">
        <f>"00315050"</f>
        <v>00315050</v>
      </c>
      <c r="G4147" t="s">
        <v>82</v>
      </c>
      <c r="H4147" t="s">
        <v>20</v>
      </c>
      <c r="I4147">
        <v>1475</v>
      </c>
      <c r="J4147" t="s">
        <v>21</v>
      </c>
      <c r="K4147">
        <v>0</v>
      </c>
      <c r="L4147" t="s">
        <v>35</v>
      </c>
      <c r="M4147">
        <v>1000</v>
      </c>
    </row>
    <row r="4148" spans="1:13">
      <c r="A4148">
        <v>4142</v>
      </c>
      <c r="B4148">
        <v>85523</v>
      </c>
      <c r="C4148" t="s">
        <v>8869</v>
      </c>
      <c r="D4148" t="s">
        <v>2893</v>
      </c>
      <c r="E4148" t="s">
        <v>8870</v>
      </c>
      <c r="F4148" t="str">
        <f>"00325725"</f>
        <v>00325725</v>
      </c>
      <c r="G4148" t="s">
        <v>600</v>
      </c>
      <c r="H4148" t="s">
        <v>234</v>
      </c>
      <c r="I4148">
        <v>1337</v>
      </c>
      <c r="J4148" t="s">
        <v>21</v>
      </c>
      <c r="K4148">
        <v>0</v>
      </c>
      <c r="M4148">
        <v>1458</v>
      </c>
    </row>
    <row r="4149" spans="1:13">
      <c r="A4149">
        <v>4143</v>
      </c>
      <c r="B4149">
        <v>82301</v>
      </c>
      <c r="C4149" t="s">
        <v>8871</v>
      </c>
      <c r="D4149" t="s">
        <v>655</v>
      </c>
      <c r="E4149" t="s">
        <v>8872</v>
      </c>
      <c r="F4149" t="str">
        <f>"00258237"</f>
        <v>00258237</v>
      </c>
      <c r="G4149" t="s">
        <v>593</v>
      </c>
      <c r="H4149" t="s">
        <v>20</v>
      </c>
      <c r="I4149">
        <v>1444</v>
      </c>
      <c r="J4149" t="s">
        <v>21</v>
      </c>
      <c r="K4149">
        <v>0</v>
      </c>
      <c r="L4149" t="s">
        <v>35</v>
      </c>
      <c r="M4149">
        <v>1236</v>
      </c>
    </row>
    <row r="4150" spans="1:13">
      <c r="A4150">
        <v>4144</v>
      </c>
      <c r="B4150">
        <v>68725</v>
      </c>
      <c r="C4150" t="s">
        <v>8873</v>
      </c>
      <c r="D4150" t="s">
        <v>243</v>
      </c>
      <c r="E4150" t="s">
        <v>8874</v>
      </c>
      <c r="F4150" t="str">
        <f>"00405822"</f>
        <v>00405822</v>
      </c>
      <c r="G4150" t="s">
        <v>713</v>
      </c>
      <c r="H4150" t="s">
        <v>366</v>
      </c>
      <c r="I4150">
        <v>1690</v>
      </c>
      <c r="J4150" t="s">
        <v>21</v>
      </c>
      <c r="K4150">
        <v>0</v>
      </c>
      <c r="M4150">
        <v>1474</v>
      </c>
    </row>
    <row r="4151" spans="1:13">
      <c r="A4151">
        <v>4145</v>
      </c>
      <c r="B4151">
        <v>77400</v>
      </c>
      <c r="C4151" t="s">
        <v>8875</v>
      </c>
      <c r="D4151" t="s">
        <v>180</v>
      </c>
      <c r="E4151" t="s">
        <v>8876</v>
      </c>
      <c r="F4151" t="str">
        <f>"00376530"</f>
        <v>00376530</v>
      </c>
      <c r="G4151" t="s">
        <v>583</v>
      </c>
      <c r="H4151" t="s">
        <v>137</v>
      </c>
      <c r="I4151">
        <v>1601</v>
      </c>
      <c r="J4151" t="s">
        <v>21</v>
      </c>
      <c r="K4151">
        <v>0</v>
      </c>
      <c r="L4151" t="s">
        <v>59</v>
      </c>
      <c r="M4151">
        <v>901</v>
      </c>
    </row>
    <row r="4152" spans="1:13">
      <c r="A4152">
        <v>4146</v>
      </c>
      <c r="B4152">
        <v>103084</v>
      </c>
      <c r="C4152" t="s">
        <v>8877</v>
      </c>
      <c r="D4152" t="s">
        <v>153</v>
      </c>
      <c r="E4152" t="s">
        <v>8878</v>
      </c>
      <c r="F4152" t="str">
        <f>"00396649"</f>
        <v>00396649</v>
      </c>
      <c r="G4152" t="s">
        <v>70</v>
      </c>
      <c r="H4152" t="s">
        <v>71</v>
      </c>
      <c r="I4152">
        <v>1702</v>
      </c>
      <c r="J4152" t="s">
        <v>21</v>
      </c>
      <c r="K4152">
        <v>0</v>
      </c>
      <c r="L4152" t="s">
        <v>35</v>
      </c>
      <c r="M4152">
        <v>908</v>
      </c>
    </row>
    <row r="4153" spans="1:13">
      <c r="A4153">
        <v>4147</v>
      </c>
      <c r="B4153">
        <v>46077</v>
      </c>
      <c r="C4153" t="s">
        <v>8879</v>
      </c>
      <c r="D4153" t="s">
        <v>1489</v>
      </c>
      <c r="E4153" t="s">
        <v>8880</v>
      </c>
      <c r="F4153" t="str">
        <f>"00295027"</f>
        <v>00295027</v>
      </c>
      <c r="G4153" t="s">
        <v>721</v>
      </c>
      <c r="H4153" t="s">
        <v>20</v>
      </c>
      <c r="I4153">
        <v>1575</v>
      </c>
      <c r="J4153" t="s">
        <v>21</v>
      </c>
      <c r="K4153">
        <v>0</v>
      </c>
      <c r="M4153">
        <v>1348</v>
      </c>
    </row>
    <row r="4154" spans="1:13">
      <c r="A4154">
        <v>4148</v>
      </c>
      <c r="B4154">
        <v>110003</v>
      </c>
      <c r="C4154" t="s">
        <v>8881</v>
      </c>
      <c r="D4154" t="s">
        <v>243</v>
      </c>
      <c r="E4154" t="s">
        <v>8882</v>
      </c>
      <c r="F4154" t="str">
        <f>"00419151"</f>
        <v>00419151</v>
      </c>
      <c r="G4154" t="s">
        <v>47</v>
      </c>
      <c r="H4154" t="s">
        <v>48</v>
      </c>
      <c r="I4154">
        <v>1623</v>
      </c>
      <c r="J4154" t="s">
        <v>21</v>
      </c>
      <c r="K4154">
        <v>0</v>
      </c>
      <c r="L4154" t="s">
        <v>35</v>
      </c>
      <c r="M4154">
        <v>900</v>
      </c>
    </row>
    <row r="4155" spans="1:13">
      <c r="A4155">
        <v>4149</v>
      </c>
      <c r="B4155">
        <v>59883</v>
      </c>
      <c r="C4155" t="s">
        <v>8883</v>
      </c>
      <c r="D4155" t="s">
        <v>117</v>
      </c>
      <c r="E4155" t="s">
        <v>8884</v>
      </c>
      <c r="F4155" t="str">
        <f>"00276976"</f>
        <v>00276976</v>
      </c>
      <c r="G4155" t="s">
        <v>82</v>
      </c>
      <c r="H4155" t="s">
        <v>20</v>
      </c>
      <c r="I4155">
        <v>1475</v>
      </c>
      <c r="J4155" t="s">
        <v>21</v>
      </c>
      <c r="K4155">
        <v>0</v>
      </c>
      <c r="M4155">
        <v>1428</v>
      </c>
    </row>
    <row r="4156" spans="1:13">
      <c r="A4156">
        <v>4150</v>
      </c>
      <c r="B4156">
        <v>51842</v>
      </c>
      <c r="C4156" t="s">
        <v>8885</v>
      </c>
      <c r="D4156" t="s">
        <v>180</v>
      </c>
      <c r="E4156" t="s">
        <v>8886</v>
      </c>
      <c r="F4156" t="str">
        <f>"00364509"</f>
        <v>00364509</v>
      </c>
      <c r="G4156" t="s">
        <v>468</v>
      </c>
      <c r="H4156" t="s">
        <v>20</v>
      </c>
      <c r="I4156">
        <v>1569</v>
      </c>
      <c r="J4156" t="s">
        <v>21</v>
      </c>
      <c r="K4156">
        <v>0</v>
      </c>
      <c r="M4156">
        <v>1378</v>
      </c>
    </row>
    <row r="4157" spans="1:13">
      <c r="A4157">
        <v>4151</v>
      </c>
      <c r="B4157">
        <v>78443</v>
      </c>
      <c r="C4157" t="s">
        <v>8887</v>
      </c>
      <c r="D4157" t="s">
        <v>8888</v>
      </c>
      <c r="E4157" t="s">
        <v>8889</v>
      </c>
      <c r="F4157" t="str">
        <f>"00377125"</f>
        <v>00377125</v>
      </c>
      <c r="G4157" t="s">
        <v>47</v>
      </c>
      <c r="H4157" t="s">
        <v>48</v>
      </c>
      <c r="I4157">
        <v>1623</v>
      </c>
      <c r="J4157" t="s">
        <v>21</v>
      </c>
      <c r="K4157">
        <v>0</v>
      </c>
      <c r="L4157" t="s">
        <v>401</v>
      </c>
      <c r="M4157">
        <v>1248</v>
      </c>
    </row>
    <row r="4158" spans="1:13">
      <c r="A4158">
        <v>4152</v>
      </c>
      <c r="B4158">
        <v>110998</v>
      </c>
      <c r="C4158" t="s">
        <v>8890</v>
      </c>
      <c r="D4158" t="s">
        <v>153</v>
      </c>
      <c r="E4158" t="s">
        <v>8891</v>
      </c>
      <c r="F4158" t="str">
        <f>"00418424"</f>
        <v>00418424</v>
      </c>
      <c r="G4158" t="s">
        <v>534</v>
      </c>
      <c r="H4158" t="s">
        <v>535</v>
      </c>
      <c r="I4158">
        <v>1667</v>
      </c>
      <c r="J4158" t="s">
        <v>21</v>
      </c>
      <c r="K4158">
        <v>0</v>
      </c>
      <c r="M4158">
        <v>1638</v>
      </c>
    </row>
    <row r="4159" spans="1:13">
      <c r="A4159">
        <v>4153</v>
      </c>
      <c r="B4159">
        <v>104627</v>
      </c>
      <c r="C4159" t="s">
        <v>8892</v>
      </c>
      <c r="D4159" t="s">
        <v>180</v>
      </c>
      <c r="E4159" t="s">
        <v>8893</v>
      </c>
      <c r="F4159" t="str">
        <f>"00399891"</f>
        <v>00399891</v>
      </c>
      <c r="G4159" t="s">
        <v>371</v>
      </c>
      <c r="H4159" t="s">
        <v>20</v>
      </c>
      <c r="I4159">
        <v>1526</v>
      </c>
      <c r="J4159" t="s">
        <v>21</v>
      </c>
      <c r="K4159">
        <v>6</v>
      </c>
      <c r="L4159" t="s">
        <v>35</v>
      </c>
      <c r="M4159">
        <v>508</v>
      </c>
    </row>
    <row r="4160" spans="1:13">
      <c r="A4160">
        <v>4154</v>
      </c>
      <c r="B4160">
        <v>89432</v>
      </c>
      <c r="C4160" t="s">
        <v>8894</v>
      </c>
      <c r="D4160" t="s">
        <v>566</v>
      </c>
      <c r="E4160" t="s">
        <v>8895</v>
      </c>
      <c r="F4160" t="str">
        <f>"00390771"</f>
        <v>00390771</v>
      </c>
      <c r="G4160" t="s">
        <v>100</v>
      </c>
      <c r="H4160" t="s">
        <v>20</v>
      </c>
      <c r="I4160">
        <v>1468</v>
      </c>
      <c r="J4160" t="s">
        <v>21</v>
      </c>
      <c r="K4160">
        <v>0</v>
      </c>
      <c r="L4160" t="s">
        <v>59</v>
      </c>
      <c r="M4160">
        <v>1073</v>
      </c>
    </row>
    <row r="4161" spans="1:13">
      <c r="A4161">
        <v>4155</v>
      </c>
      <c r="B4161">
        <v>81423</v>
      </c>
      <c r="C4161" t="s">
        <v>8896</v>
      </c>
      <c r="D4161" t="s">
        <v>276</v>
      </c>
      <c r="E4161" t="s">
        <v>8897</v>
      </c>
      <c r="F4161" t="str">
        <f>"00205351"</f>
        <v>00205351</v>
      </c>
      <c r="G4161" t="s">
        <v>150</v>
      </c>
      <c r="H4161" t="s">
        <v>151</v>
      </c>
      <c r="I4161">
        <v>1699</v>
      </c>
      <c r="J4161" t="s">
        <v>21</v>
      </c>
      <c r="K4161">
        <v>0</v>
      </c>
      <c r="M4161">
        <v>1348</v>
      </c>
    </row>
    <row r="4162" spans="1:13">
      <c r="A4162">
        <v>4156</v>
      </c>
      <c r="B4162">
        <v>56853</v>
      </c>
      <c r="C4162" t="s">
        <v>8898</v>
      </c>
      <c r="D4162" t="s">
        <v>121</v>
      </c>
      <c r="E4162" t="s">
        <v>8899</v>
      </c>
      <c r="F4162" t="str">
        <f>"201511010949"</f>
        <v>201511010949</v>
      </c>
      <c r="G4162" t="s">
        <v>47</v>
      </c>
      <c r="H4162" t="s">
        <v>48</v>
      </c>
      <c r="I4162">
        <v>1623</v>
      </c>
      <c r="J4162" t="s">
        <v>21</v>
      </c>
      <c r="K4162">
        <v>0</v>
      </c>
      <c r="L4162" t="s">
        <v>35</v>
      </c>
      <c r="M4162">
        <v>900</v>
      </c>
    </row>
    <row r="4163" spans="1:13">
      <c r="A4163">
        <v>4157</v>
      </c>
      <c r="B4163">
        <v>84437</v>
      </c>
      <c r="C4163" t="s">
        <v>8900</v>
      </c>
      <c r="D4163" t="s">
        <v>105</v>
      </c>
      <c r="E4163" t="s">
        <v>8901</v>
      </c>
      <c r="F4163" t="str">
        <f>"00267176"</f>
        <v>00267176</v>
      </c>
      <c r="G4163" t="s">
        <v>883</v>
      </c>
      <c r="H4163" t="s">
        <v>270</v>
      </c>
      <c r="I4163">
        <v>1585</v>
      </c>
      <c r="J4163" t="s">
        <v>21</v>
      </c>
      <c r="K4163">
        <v>0</v>
      </c>
      <c r="M4163">
        <v>1498</v>
      </c>
    </row>
    <row r="4164" spans="1:13">
      <c r="A4164">
        <v>4158</v>
      </c>
      <c r="B4164">
        <v>60957</v>
      </c>
      <c r="C4164" t="s">
        <v>8902</v>
      </c>
      <c r="D4164" t="s">
        <v>811</v>
      </c>
      <c r="E4164" t="s">
        <v>8903</v>
      </c>
      <c r="F4164" t="str">
        <f>"00346987"</f>
        <v>00346987</v>
      </c>
      <c r="G4164" t="s">
        <v>371</v>
      </c>
      <c r="H4164" t="s">
        <v>20</v>
      </c>
      <c r="I4164">
        <v>1526</v>
      </c>
      <c r="J4164" t="s">
        <v>21</v>
      </c>
      <c r="K4164">
        <v>6</v>
      </c>
      <c r="L4164" t="s">
        <v>35</v>
      </c>
      <c r="M4164">
        <v>408</v>
      </c>
    </row>
    <row r="4165" spans="1:13">
      <c r="A4165">
        <v>4159</v>
      </c>
      <c r="B4165">
        <v>88269</v>
      </c>
      <c r="C4165" t="s">
        <v>8904</v>
      </c>
      <c r="D4165" t="s">
        <v>76</v>
      </c>
      <c r="E4165" t="s">
        <v>8905</v>
      </c>
      <c r="F4165" t="str">
        <f>"00376391"</f>
        <v>00376391</v>
      </c>
      <c r="G4165" t="s">
        <v>111</v>
      </c>
      <c r="H4165" t="s">
        <v>48</v>
      </c>
      <c r="I4165">
        <v>1620</v>
      </c>
      <c r="J4165" t="s">
        <v>21</v>
      </c>
      <c r="K4165">
        <v>0</v>
      </c>
      <c r="M4165">
        <v>1328</v>
      </c>
    </row>
    <row r="4166" spans="1:13">
      <c r="A4166">
        <v>4160</v>
      </c>
      <c r="B4166">
        <v>95254</v>
      </c>
      <c r="C4166" t="s">
        <v>8906</v>
      </c>
      <c r="D4166" t="s">
        <v>105</v>
      </c>
      <c r="E4166" t="s">
        <v>8907</v>
      </c>
      <c r="F4166" t="str">
        <f>"00372563"</f>
        <v>00372563</v>
      </c>
      <c r="G4166" t="s">
        <v>2440</v>
      </c>
      <c r="H4166" t="s">
        <v>20</v>
      </c>
      <c r="I4166">
        <v>1567</v>
      </c>
      <c r="J4166" t="s">
        <v>21</v>
      </c>
      <c r="K4166">
        <v>0</v>
      </c>
      <c r="L4166" t="s">
        <v>35</v>
      </c>
      <c r="M4166">
        <v>1108</v>
      </c>
    </row>
    <row r="4167" spans="1:13">
      <c r="A4167">
        <v>4161</v>
      </c>
      <c r="B4167">
        <v>72589</v>
      </c>
      <c r="C4167" t="s">
        <v>8908</v>
      </c>
      <c r="D4167" t="s">
        <v>566</v>
      </c>
      <c r="E4167" t="s">
        <v>8909</v>
      </c>
      <c r="F4167" t="str">
        <f>"00374691"</f>
        <v>00374691</v>
      </c>
      <c r="G4167" t="s">
        <v>245</v>
      </c>
      <c r="H4167" t="s">
        <v>20</v>
      </c>
      <c r="I4167">
        <v>1406</v>
      </c>
      <c r="J4167" t="s">
        <v>21</v>
      </c>
      <c r="K4167">
        <v>0</v>
      </c>
      <c r="L4167" t="s">
        <v>88</v>
      </c>
      <c r="M4167">
        <v>536</v>
      </c>
    </row>
    <row r="4168" spans="1:13">
      <c r="A4168">
        <v>4162</v>
      </c>
      <c r="B4168">
        <v>100652</v>
      </c>
      <c r="C4168" t="s">
        <v>8910</v>
      </c>
      <c r="D4168" t="s">
        <v>105</v>
      </c>
      <c r="E4168" t="s">
        <v>8911</v>
      </c>
      <c r="F4168" t="str">
        <f>"00384899"</f>
        <v>00384899</v>
      </c>
      <c r="G4168" t="s">
        <v>150</v>
      </c>
      <c r="H4168" t="s">
        <v>151</v>
      </c>
      <c r="I4168">
        <v>1699</v>
      </c>
      <c r="J4168" t="s">
        <v>21</v>
      </c>
      <c r="K4168">
        <v>0</v>
      </c>
      <c r="M4168">
        <v>1447</v>
      </c>
    </row>
    <row r="4169" spans="1:13">
      <c r="A4169">
        <v>4163</v>
      </c>
      <c r="B4169">
        <v>77615</v>
      </c>
      <c r="C4169" t="s">
        <v>8912</v>
      </c>
      <c r="D4169" t="s">
        <v>117</v>
      </c>
      <c r="E4169" t="s">
        <v>8913</v>
      </c>
      <c r="F4169" t="str">
        <f>"00362316"</f>
        <v>00362316</v>
      </c>
      <c r="G4169" t="s">
        <v>294</v>
      </c>
      <c r="H4169" t="s">
        <v>20</v>
      </c>
      <c r="I4169">
        <v>1421</v>
      </c>
      <c r="J4169" t="s">
        <v>21</v>
      </c>
      <c r="K4169">
        <v>0</v>
      </c>
      <c r="M4169">
        <v>1448</v>
      </c>
    </row>
    <row r="4170" spans="1:13">
      <c r="A4170">
        <v>4164</v>
      </c>
      <c r="B4170">
        <v>117054</v>
      </c>
      <c r="C4170" t="s">
        <v>8914</v>
      </c>
      <c r="D4170" t="s">
        <v>98</v>
      </c>
      <c r="E4170" t="s">
        <v>8915</v>
      </c>
      <c r="F4170" t="str">
        <f>"00419009"</f>
        <v>00419009</v>
      </c>
      <c r="G4170" t="s">
        <v>147</v>
      </c>
      <c r="H4170" t="s">
        <v>20</v>
      </c>
      <c r="I4170">
        <v>1529</v>
      </c>
      <c r="J4170" t="s">
        <v>21</v>
      </c>
      <c r="K4170">
        <v>0</v>
      </c>
      <c r="L4170" t="s">
        <v>59</v>
      </c>
      <c r="M4170">
        <v>1272</v>
      </c>
    </row>
    <row r="4171" spans="1:13">
      <c r="A4171">
        <v>4165</v>
      </c>
      <c r="B4171">
        <v>56413</v>
      </c>
      <c r="C4171" t="s">
        <v>8916</v>
      </c>
      <c r="D4171" t="s">
        <v>180</v>
      </c>
      <c r="E4171" t="s">
        <v>8917</v>
      </c>
      <c r="F4171" t="str">
        <f>"00355147"</f>
        <v>00355147</v>
      </c>
      <c r="G4171" t="s">
        <v>994</v>
      </c>
      <c r="H4171" t="s">
        <v>20</v>
      </c>
      <c r="I4171">
        <v>1522</v>
      </c>
      <c r="J4171" t="s">
        <v>21</v>
      </c>
      <c r="K4171">
        <v>0</v>
      </c>
      <c r="M4171">
        <v>1438</v>
      </c>
    </row>
    <row r="4172" spans="1:13">
      <c r="A4172">
        <v>4166</v>
      </c>
      <c r="B4172">
        <v>87642</v>
      </c>
      <c r="C4172" t="s">
        <v>8918</v>
      </c>
      <c r="D4172" t="s">
        <v>109</v>
      </c>
      <c r="E4172" t="s">
        <v>8919</v>
      </c>
      <c r="F4172" t="str">
        <f>"00383612"</f>
        <v>00383612</v>
      </c>
      <c r="G4172" t="s">
        <v>107</v>
      </c>
      <c r="H4172" t="s">
        <v>20</v>
      </c>
      <c r="I4172">
        <v>1472</v>
      </c>
      <c r="J4172" t="s">
        <v>21</v>
      </c>
      <c r="K4172">
        <v>0</v>
      </c>
      <c r="M4172">
        <v>1440</v>
      </c>
    </row>
    <row r="4173" spans="1:13">
      <c r="A4173">
        <v>4167</v>
      </c>
      <c r="B4173">
        <v>101817</v>
      </c>
      <c r="C4173" t="s">
        <v>8920</v>
      </c>
      <c r="D4173" t="s">
        <v>218</v>
      </c>
      <c r="E4173" t="s">
        <v>8921</v>
      </c>
      <c r="F4173" t="str">
        <f>"00379943"</f>
        <v>00379943</v>
      </c>
      <c r="G4173" t="s">
        <v>258</v>
      </c>
      <c r="H4173" t="s">
        <v>20</v>
      </c>
      <c r="I4173">
        <v>1484</v>
      </c>
      <c r="J4173" t="s">
        <v>21</v>
      </c>
      <c r="K4173">
        <v>0</v>
      </c>
      <c r="L4173" t="s">
        <v>59</v>
      </c>
      <c r="M4173">
        <v>848</v>
      </c>
    </row>
    <row r="4174" spans="1:13">
      <c r="A4174">
        <v>4168</v>
      </c>
      <c r="B4174">
        <v>77439</v>
      </c>
      <c r="C4174" t="s">
        <v>8922</v>
      </c>
      <c r="D4174" t="s">
        <v>205</v>
      </c>
      <c r="E4174" t="s">
        <v>8923</v>
      </c>
      <c r="F4174" t="str">
        <f>"00407224"</f>
        <v>00407224</v>
      </c>
      <c r="G4174" t="s">
        <v>760</v>
      </c>
      <c r="H4174" t="s">
        <v>20</v>
      </c>
      <c r="I4174">
        <v>1432</v>
      </c>
      <c r="J4174" t="s">
        <v>21</v>
      </c>
      <c r="K4174">
        <v>0</v>
      </c>
      <c r="L4174" t="s">
        <v>35</v>
      </c>
      <c r="M4174">
        <v>1108</v>
      </c>
    </row>
    <row r="4175" spans="1:13">
      <c r="A4175">
        <v>4169</v>
      </c>
      <c r="B4175">
        <v>81077</v>
      </c>
      <c r="C4175" t="s">
        <v>8924</v>
      </c>
      <c r="D4175" t="s">
        <v>145</v>
      </c>
      <c r="E4175" t="s">
        <v>8925</v>
      </c>
      <c r="F4175" t="str">
        <f>"00384859"</f>
        <v>00384859</v>
      </c>
      <c r="G4175" t="s">
        <v>3368</v>
      </c>
      <c r="H4175" t="s">
        <v>20</v>
      </c>
      <c r="I4175">
        <v>1452</v>
      </c>
      <c r="J4175" t="s">
        <v>21</v>
      </c>
      <c r="K4175">
        <v>0</v>
      </c>
      <c r="L4175" t="s">
        <v>35</v>
      </c>
      <c r="M4175">
        <v>1108</v>
      </c>
    </row>
    <row r="4176" spans="1:13">
      <c r="A4176">
        <v>4170</v>
      </c>
      <c r="B4176">
        <v>60920</v>
      </c>
      <c r="C4176" t="s">
        <v>8926</v>
      </c>
      <c r="D4176" t="s">
        <v>205</v>
      </c>
      <c r="E4176" t="s">
        <v>8927</v>
      </c>
      <c r="F4176" t="str">
        <f>"00303337"</f>
        <v>00303337</v>
      </c>
      <c r="G4176" t="s">
        <v>47</v>
      </c>
      <c r="H4176" t="s">
        <v>48</v>
      </c>
      <c r="I4176">
        <v>1623</v>
      </c>
      <c r="J4176" t="s">
        <v>21</v>
      </c>
      <c r="K4176">
        <v>0</v>
      </c>
      <c r="M4176">
        <v>1327</v>
      </c>
    </row>
    <row r="4177" spans="1:13">
      <c r="A4177">
        <v>4171</v>
      </c>
      <c r="B4177">
        <v>81485</v>
      </c>
      <c r="C4177" t="s">
        <v>8928</v>
      </c>
      <c r="D4177" t="s">
        <v>76</v>
      </c>
      <c r="E4177" t="s">
        <v>8929</v>
      </c>
      <c r="F4177" t="str">
        <f>"00398563"</f>
        <v>00398563</v>
      </c>
      <c r="G4177" t="s">
        <v>150</v>
      </c>
      <c r="H4177" t="s">
        <v>151</v>
      </c>
      <c r="I4177">
        <v>1699</v>
      </c>
      <c r="J4177" t="s">
        <v>21</v>
      </c>
      <c r="K4177">
        <v>0</v>
      </c>
      <c r="M4177">
        <v>1328</v>
      </c>
    </row>
    <row r="4178" spans="1:13">
      <c r="A4178">
        <v>4172</v>
      </c>
      <c r="B4178">
        <v>55138</v>
      </c>
      <c r="C4178" t="s">
        <v>8930</v>
      </c>
      <c r="D4178" t="s">
        <v>76</v>
      </c>
      <c r="E4178" t="s">
        <v>8931</v>
      </c>
      <c r="F4178" t="str">
        <f>"201511006992"</f>
        <v>201511006992</v>
      </c>
      <c r="G4178" t="s">
        <v>721</v>
      </c>
      <c r="H4178" t="s">
        <v>20</v>
      </c>
      <c r="I4178">
        <v>1575</v>
      </c>
      <c r="J4178" t="s">
        <v>21</v>
      </c>
      <c r="K4178">
        <v>0</v>
      </c>
      <c r="L4178" t="s">
        <v>112</v>
      </c>
      <c r="M4178">
        <v>846</v>
      </c>
    </row>
    <row r="4179" spans="1:13">
      <c r="A4179">
        <v>4173</v>
      </c>
      <c r="B4179">
        <v>63961</v>
      </c>
      <c r="C4179" t="s">
        <v>8932</v>
      </c>
      <c r="D4179" t="s">
        <v>495</v>
      </c>
      <c r="E4179" t="s">
        <v>8933</v>
      </c>
      <c r="F4179" t="str">
        <f>"00348676"</f>
        <v>00348676</v>
      </c>
      <c r="G4179" t="s">
        <v>763</v>
      </c>
      <c r="H4179" t="s">
        <v>20</v>
      </c>
      <c r="I4179">
        <v>1430</v>
      </c>
      <c r="J4179" t="s">
        <v>21</v>
      </c>
      <c r="K4179">
        <v>0</v>
      </c>
      <c r="L4179" t="s">
        <v>35</v>
      </c>
      <c r="M4179">
        <v>975</v>
      </c>
    </row>
    <row r="4180" spans="1:13">
      <c r="A4180">
        <v>4174</v>
      </c>
      <c r="B4180">
        <v>53956</v>
      </c>
      <c r="C4180" t="s">
        <v>8934</v>
      </c>
      <c r="D4180" t="s">
        <v>205</v>
      </c>
      <c r="E4180" t="s">
        <v>8935</v>
      </c>
      <c r="F4180" t="str">
        <f>"00356635"</f>
        <v>00356635</v>
      </c>
      <c r="G4180" t="s">
        <v>125</v>
      </c>
      <c r="H4180" t="s">
        <v>20</v>
      </c>
      <c r="I4180">
        <v>1507</v>
      </c>
      <c r="J4180" t="s">
        <v>21</v>
      </c>
      <c r="K4180">
        <v>0</v>
      </c>
      <c r="M4180">
        <v>1488</v>
      </c>
    </row>
    <row r="4181" spans="1:13">
      <c r="A4181">
        <v>4175</v>
      </c>
      <c r="B4181">
        <v>72933</v>
      </c>
      <c r="C4181" t="s">
        <v>8936</v>
      </c>
      <c r="D4181" t="s">
        <v>85</v>
      </c>
      <c r="E4181" t="s">
        <v>8937</v>
      </c>
      <c r="F4181" t="str">
        <f>"00404092"</f>
        <v>00404092</v>
      </c>
      <c r="G4181" t="s">
        <v>488</v>
      </c>
      <c r="H4181" t="s">
        <v>20</v>
      </c>
      <c r="I4181">
        <v>1482</v>
      </c>
      <c r="J4181" t="s">
        <v>21</v>
      </c>
      <c r="K4181">
        <v>0</v>
      </c>
      <c r="L4181" t="s">
        <v>88</v>
      </c>
      <c r="M4181">
        <v>650</v>
      </c>
    </row>
    <row r="4182" spans="1:13">
      <c r="A4182">
        <v>4176</v>
      </c>
      <c r="B4182">
        <v>67340</v>
      </c>
      <c r="C4182" t="s">
        <v>8938</v>
      </c>
      <c r="D4182" t="s">
        <v>139</v>
      </c>
      <c r="E4182" t="s">
        <v>8939</v>
      </c>
      <c r="F4182" t="str">
        <f>"00380416"</f>
        <v>00380416</v>
      </c>
      <c r="G4182" t="s">
        <v>226</v>
      </c>
      <c r="H4182" t="s">
        <v>20</v>
      </c>
      <c r="I4182">
        <v>1510</v>
      </c>
      <c r="J4182" t="s">
        <v>21</v>
      </c>
      <c r="K4182">
        <v>0</v>
      </c>
      <c r="L4182" t="s">
        <v>35</v>
      </c>
      <c r="M4182">
        <v>850</v>
      </c>
    </row>
    <row r="4183" spans="1:13">
      <c r="A4183">
        <v>4177</v>
      </c>
      <c r="B4183">
        <v>116902</v>
      </c>
      <c r="C4183" t="s">
        <v>8940</v>
      </c>
      <c r="D4183" t="s">
        <v>105</v>
      </c>
      <c r="E4183" t="s">
        <v>8941</v>
      </c>
      <c r="F4183" t="str">
        <f>"00388828"</f>
        <v>00388828</v>
      </c>
      <c r="G4183" t="s">
        <v>211</v>
      </c>
      <c r="H4183" t="s">
        <v>48</v>
      </c>
      <c r="I4183">
        <v>1628</v>
      </c>
      <c r="J4183" t="s">
        <v>21</v>
      </c>
      <c r="K4183">
        <v>0</v>
      </c>
      <c r="L4183" t="s">
        <v>35</v>
      </c>
      <c r="M4183">
        <v>858</v>
      </c>
    </row>
    <row r="4184" spans="1:13">
      <c r="A4184">
        <v>4178</v>
      </c>
      <c r="B4184">
        <v>58320</v>
      </c>
      <c r="C4184" t="s">
        <v>8942</v>
      </c>
      <c r="D4184" t="s">
        <v>80</v>
      </c>
      <c r="E4184" t="s">
        <v>8943</v>
      </c>
      <c r="F4184" t="str">
        <f>"00352288"</f>
        <v>00352288</v>
      </c>
      <c r="G4184" t="s">
        <v>170</v>
      </c>
      <c r="H4184" t="s">
        <v>20</v>
      </c>
      <c r="I4184">
        <v>1412</v>
      </c>
      <c r="J4184" t="s">
        <v>21</v>
      </c>
      <c r="K4184">
        <v>0</v>
      </c>
      <c r="M4184">
        <v>1628</v>
      </c>
    </row>
    <row r="4185" spans="1:13">
      <c r="A4185">
        <v>4179</v>
      </c>
      <c r="B4185">
        <v>63633</v>
      </c>
      <c r="C4185" t="s">
        <v>8944</v>
      </c>
      <c r="D4185" t="s">
        <v>218</v>
      </c>
      <c r="E4185" t="s">
        <v>8945</v>
      </c>
      <c r="F4185" t="str">
        <f>"00351635"</f>
        <v>00351635</v>
      </c>
      <c r="G4185" t="s">
        <v>600</v>
      </c>
      <c r="H4185" t="s">
        <v>1820</v>
      </c>
      <c r="I4185">
        <v>1721</v>
      </c>
      <c r="J4185" t="s">
        <v>21</v>
      </c>
      <c r="K4185">
        <v>0</v>
      </c>
      <c r="M4185">
        <v>1728</v>
      </c>
    </row>
    <row r="4186" spans="1:13">
      <c r="A4186">
        <v>4180</v>
      </c>
      <c r="B4186">
        <v>78749</v>
      </c>
      <c r="C4186" t="s">
        <v>8946</v>
      </c>
      <c r="D4186" t="s">
        <v>94</v>
      </c>
      <c r="E4186" t="s">
        <v>8947</v>
      </c>
      <c r="F4186" t="str">
        <f>"00394378"</f>
        <v>00394378</v>
      </c>
      <c r="G4186" t="s">
        <v>7326</v>
      </c>
      <c r="H4186" t="s">
        <v>137</v>
      </c>
      <c r="I4186">
        <v>1613</v>
      </c>
      <c r="J4186" t="s">
        <v>21</v>
      </c>
      <c r="K4186">
        <v>6</v>
      </c>
      <c r="M4186">
        <v>1328</v>
      </c>
    </row>
    <row r="4187" spans="1:13">
      <c r="A4187">
        <v>4181</v>
      </c>
      <c r="B4187">
        <v>55719</v>
      </c>
      <c r="C4187" t="s">
        <v>8948</v>
      </c>
      <c r="D4187" t="s">
        <v>4963</v>
      </c>
      <c r="E4187" t="s">
        <v>8949</v>
      </c>
      <c r="F4187" t="str">
        <f>"00361545"</f>
        <v>00361545</v>
      </c>
      <c r="G4187" t="s">
        <v>395</v>
      </c>
      <c r="H4187" t="s">
        <v>234</v>
      </c>
      <c r="I4187">
        <v>1336</v>
      </c>
      <c r="J4187" t="s">
        <v>21</v>
      </c>
      <c r="K4187">
        <v>0</v>
      </c>
      <c r="L4187" t="s">
        <v>35</v>
      </c>
      <c r="M4187">
        <v>1000</v>
      </c>
    </row>
    <row r="4188" spans="1:13">
      <c r="A4188">
        <v>4182</v>
      </c>
      <c r="B4188">
        <v>71079</v>
      </c>
      <c r="C4188" t="s">
        <v>8950</v>
      </c>
      <c r="D4188" t="s">
        <v>566</v>
      </c>
      <c r="E4188" t="s">
        <v>8951</v>
      </c>
      <c r="F4188" t="str">
        <f>"00371137"</f>
        <v>00371137</v>
      </c>
      <c r="G4188" t="s">
        <v>341</v>
      </c>
      <c r="H4188" t="s">
        <v>20</v>
      </c>
      <c r="I4188">
        <v>1553</v>
      </c>
      <c r="J4188" t="s">
        <v>21</v>
      </c>
      <c r="K4188">
        <v>6</v>
      </c>
      <c r="L4188" t="s">
        <v>59</v>
      </c>
      <c r="M4188">
        <v>916</v>
      </c>
    </row>
    <row r="4189" spans="1:13">
      <c r="A4189">
        <v>4183</v>
      </c>
      <c r="B4189">
        <v>57998</v>
      </c>
      <c r="C4189" t="s">
        <v>8952</v>
      </c>
      <c r="D4189" t="s">
        <v>2841</v>
      </c>
      <c r="E4189" t="s">
        <v>8953</v>
      </c>
      <c r="F4189" t="str">
        <f>"00367016"</f>
        <v>00367016</v>
      </c>
      <c r="G4189" t="s">
        <v>1321</v>
      </c>
      <c r="H4189" t="s">
        <v>234</v>
      </c>
      <c r="I4189">
        <v>1330</v>
      </c>
      <c r="J4189" t="s">
        <v>21</v>
      </c>
      <c r="K4189">
        <v>0</v>
      </c>
      <c r="M4189">
        <v>1688</v>
      </c>
    </row>
    <row r="4190" spans="1:13">
      <c r="A4190">
        <v>4184</v>
      </c>
      <c r="B4190">
        <v>55779</v>
      </c>
      <c r="C4190" t="s">
        <v>8954</v>
      </c>
      <c r="D4190" t="s">
        <v>180</v>
      </c>
      <c r="E4190" t="s">
        <v>8955</v>
      </c>
      <c r="F4190" t="str">
        <f>"00348489"</f>
        <v>00348489</v>
      </c>
      <c r="G4190" t="s">
        <v>1753</v>
      </c>
      <c r="H4190" t="s">
        <v>20</v>
      </c>
      <c r="I4190">
        <v>1544</v>
      </c>
      <c r="J4190" t="s">
        <v>21</v>
      </c>
      <c r="K4190">
        <v>0</v>
      </c>
      <c r="L4190" t="s">
        <v>88</v>
      </c>
      <c r="M4190">
        <v>708</v>
      </c>
    </row>
    <row r="4191" spans="1:13">
      <c r="A4191">
        <v>4185</v>
      </c>
      <c r="B4191">
        <v>87098</v>
      </c>
      <c r="C4191" t="s">
        <v>8956</v>
      </c>
      <c r="D4191" t="s">
        <v>90</v>
      </c>
      <c r="E4191" t="s">
        <v>8957</v>
      </c>
      <c r="F4191" t="str">
        <f>"00203022"</f>
        <v>00203022</v>
      </c>
      <c r="G4191" t="s">
        <v>2440</v>
      </c>
      <c r="H4191" t="s">
        <v>20</v>
      </c>
      <c r="I4191">
        <v>1567</v>
      </c>
      <c r="J4191" t="s">
        <v>21</v>
      </c>
      <c r="K4191">
        <v>0</v>
      </c>
      <c r="L4191" t="s">
        <v>88</v>
      </c>
      <c r="M4191">
        <v>800</v>
      </c>
    </row>
    <row r="4192" spans="1:13">
      <c r="A4192">
        <v>4186</v>
      </c>
      <c r="B4192">
        <v>101311</v>
      </c>
      <c r="C4192" t="s">
        <v>8958</v>
      </c>
      <c r="D4192" t="s">
        <v>76</v>
      </c>
      <c r="E4192" t="s">
        <v>8959</v>
      </c>
      <c r="F4192" t="str">
        <f>"00369458"</f>
        <v>00369458</v>
      </c>
      <c r="G4192" t="s">
        <v>1970</v>
      </c>
      <c r="H4192" t="s">
        <v>20</v>
      </c>
      <c r="I4192">
        <v>1440</v>
      </c>
      <c r="J4192" t="s">
        <v>21</v>
      </c>
      <c r="K4192">
        <v>6</v>
      </c>
      <c r="M4192">
        <v>1408</v>
      </c>
    </row>
    <row r="4193" spans="1:13">
      <c r="A4193">
        <v>4187</v>
      </c>
      <c r="B4193">
        <v>60607</v>
      </c>
      <c r="C4193" t="s">
        <v>8960</v>
      </c>
      <c r="D4193" t="s">
        <v>700</v>
      </c>
      <c r="E4193" t="s">
        <v>8961</v>
      </c>
      <c r="F4193" t="str">
        <f>"00349703"</f>
        <v>00349703</v>
      </c>
      <c r="G4193" t="s">
        <v>258</v>
      </c>
      <c r="H4193" t="s">
        <v>20</v>
      </c>
      <c r="I4193">
        <v>1484</v>
      </c>
      <c r="J4193" t="s">
        <v>21</v>
      </c>
      <c r="K4193">
        <v>0</v>
      </c>
      <c r="L4193" t="s">
        <v>35</v>
      </c>
      <c r="M4193">
        <v>931</v>
      </c>
    </row>
    <row r="4194" spans="1:13">
      <c r="A4194">
        <v>4188</v>
      </c>
      <c r="B4194">
        <v>65248</v>
      </c>
      <c r="C4194" t="s">
        <v>8962</v>
      </c>
      <c r="D4194" t="s">
        <v>121</v>
      </c>
      <c r="E4194" t="s">
        <v>8963</v>
      </c>
      <c r="F4194" t="str">
        <f>"00143282"</f>
        <v>00143282</v>
      </c>
      <c r="G4194" t="s">
        <v>38</v>
      </c>
      <c r="H4194" t="s">
        <v>39</v>
      </c>
      <c r="I4194">
        <v>1634</v>
      </c>
      <c r="J4194" t="s">
        <v>21</v>
      </c>
      <c r="K4194">
        <v>6</v>
      </c>
      <c r="L4194" t="s">
        <v>35</v>
      </c>
      <c r="M4194">
        <v>650</v>
      </c>
    </row>
    <row r="4195" spans="1:13">
      <c r="A4195">
        <v>4189</v>
      </c>
      <c r="B4195">
        <v>97125</v>
      </c>
      <c r="C4195" t="s">
        <v>8964</v>
      </c>
      <c r="D4195" t="s">
        <v>127</v>
      </c>
      <c r="E4195" t="s">
        <v>8965</v>
      </c>
      <c r="F4195" t="str">
        <f>"00389110"</f>
        <v>00389110</v>
      </c>
      <c r="G4195" t="s">
        <v>341</v>
      </c>
      <c r="H4195" t="s">
        <v>2515</v>
      </c>
      <c r="I4195">
        <v>1348</v>
      </c>
      <c r="J4195" t="s">
        <v>21</v>
      </c>
      <c r="K4195">
        <v>6</v>
      </c>
      <c r="M4195">
        <v>1528</v>
      </c>
    </row>
    <row r="4196" spans="1:13">
      <c r="A4196">
        <v>4190</v>
      </c>
      <c r="B4196">
        <v>51984</v>
      </c>
      <c r="C4196" t="s">
        <v>8966</v>
      </c>
      <c r="D4196" t="s">
        <v>145</v>
      </c>
      <c r="E4196" t="s">
        <v>8967</v>
      </c>
      <c r="F4196" t="str">
        <f>"00348457"</f>
        <v>00348457</v>
      </c>
      <c r="G4196" t="s">
        <v>713</v>
      </c>
      <c r="H4196" t="s">
        <v>366</v>
      </c>
      <c r="I4196">
        <v>1690</v>
      </c>
      <c r="J4196" t="s">
        <v>21</v>
      </c>
      <c r="K4196">
        <v>0</v>
      </c>
      <c r="M4196">
        <v>1528</v>
      </c>
    </row>
    <row r="4197" spans="1:13">
      <c r="A4197">
        <v>4191</v>
      </c>
      <c r="B4197">
        <v>84122</v>
      </c>
      <c r="C4197" t="s">
        <v>8968</v>
      </c>
      <c r="D4197" t="s">
        <v>94</v>
      </c>
      <c r="E4197" t="s">
        <v>8969</v>
      </c>
      <c r="F4197" t="str">
        <f>"00212858"</f>
        <v>00212858</v>
      </c>
      <c r="G4197" t="s">
        <v>511</v>
      </c>
      <c r="H4197" t="s">
        <v>3640</v>
      </c>
      <c r="I4197">
        <v>1713</v>
      </c>
      <c r="J4197" t="s">
        <v>21</v>
      </c>
      <c r="K4197">
        <v>6</v>
      </c>
      <c r="M4197">
        <v>1468</v>
      </c>
    </row>
    <row r="4198" spans="1:13">
      <c r="A4198">
        <v>4192</v>
      </c>
      <c r="B4198">
        <v>84221</v>
      </c>
      <c r="C4198" t="s">
        <v>8970</v>
      </c>
      <c r="D4198" t="s">
        <v>80</v>
      </c>
      <c r="E4198" t="s">
        <v>8971</v>
      </c>
      <c r="F4198" t="str">
        <f>"00370136"</f>
        <v>00370136</v>
      </c>
      <c r="G4198" t="s">
        <v>610</v>
      </c>
      <c r="H4198" t="s">
        <v>20</v>
      </c>
      <c r="I4198">
        <v>1429</v>
      </c>
      <c r="J4198" t="s">
        <v>21</v>
      </c>
      <c r="K4198">
        <v>0</v>
      </c>
      <c r="M4198">
        <v>1468</v>
      </c>
    </row>
    <row r="4199" spans="1:13">
      <c r="A4199">
        <v>4193</v>
      </c>
      <c r="B4199">
        <v>107666</v>
      </c>
      <c r="C4199" t="s">
        <v>8972</v>
      </c>
      <c r="D4199" t="s">
        <v>288</v>
      </c>
      <c r="E4199" t="s">
        <v>8973</v>
      </c>
      <c r="F4199" t="str">
        <f>"00387398"</f>
        <v>00387398</v>
      </c>
      <c r="G4199" t="s">
        <v>341</v>
      </c>
      <c r="H4199" t="s">
        <v>20</v>
      </c>
      <c r="I4199">
        <v>1553</v>
      </c>
      <c r="J4199" t="s">
        <v>21</v>
      </c>
      <c r="K4199">
        <v>6</v>
      </c>
      <c r="L4199" t="s">
        <v>88</v>
      </c>
      <c r="M4199">
        <v>719</v>
      </c>
    </row>
    <row r="4200" spans="1:13">
      <c r="A4200">
        <v>4194</v>
      </c>
      <c r="B4200">
        <v>107984</v>
      </c>
      <c r="C4200" t="s">
        <v>8974</v>
      </c>
      <c r="D4200" t="s">
        <v>102</v>
      </c>
      <c r="E4200" t="s">
        <v>8975</v>
      </c>
      <c r="F4200" t="str">
        <f>"00411339"</f>
        <v>00411339</v>
      </c>
      <c r="G4200" t="s">
        <v>561</v>
      </c>
      <c r="H4200" t="s">
        <v>20</v>
      </c>
      <c r="I4200">
        <v>1574</v>
      </c>
      <c r="J4200" t="s">
        <v>21</v>
      </c>
      <c r="K4200">
        <v>0</v>
      </c>
      <c r="M4200">
        <v>1588</v>
      </c>
    </row>
    <row r="4201" spans="1:13">
      <c r="A4201">
        <v>4195</v>
      </c>
      <c r="B4201">
        <v>72554</v>
      </c>
      <c r="C4201" t="s">
        <v>8976</v>
      </c>
      <c r="D4201" t="s">
        <v>76</v>
      </c>
      <c r="E4201" t="s">
        <v>8977</v>
      </c>
      <c r="F4201" t="str">
        <f>"00381989"</f>
        <v>00381989</v>
      </c>
      <c r="G4201" t="s">
        <v>19</v>
      </c>
      <c r="H4201" t="s">
        <v>20</v>
      </c>
      <c r="I4201">
        <v>1531</v>
      </c>
      <c r="J4201" t="s">
        <v>21</v>
      </c>
      <c r="K4201">
        <v>0</v>
      </c>
      <c r="L4201" t="s">
        <v>35</v>
      </c>
      <c r="M4201">
        <v>921</v>
      </c>
    </row>
    <row r="4202" spans="1:13">
      <c r="A4202">
        <v>4196</v>
      </c>
      <c r="B4202">
        <v>97679</v>
      </c>
      <c r="C4202" t="s">
        <v>8978</v>
      </c>
      <c r="D4202" t="s">
        <v>105</v>
      </c>
      <c r="E4202" t="s">
        <v>8979</v>
      </c>
      <c r="F4202" t="str">
        <f>"00405594"</f>
        <v>00405594</v>
      </c>
      <c r="G4202" t="s">
        <v>2228</v>
      </c>
      <c r="H4202" t="s">
        <v>20</v>
      </c>
      <c r="I4202">
        <v>1469</v>
      </c>
      <c r="J4202" t="s">
        <v>21</v>
      </c>
      <c r="K4202">
        <v>0</v>
      </c>
      <c r="M4202">
        <v>1528</v>
      </c>
    </row>
    <row r="4203" spans="1:13">
      <c r="A4203">
        <v>4197</v>
      </c>
      <c r="B4203">
        <v>50709</v>
      </c>
      <c r="C4203" t="s">
        <v>8980</v>
      </c>
      <c r="D4203" t="s">
        <v>145</v>
      </c>
      <c r="E4203" t="s">
        <v>8981</v>
      </c>
      <c r="F4203" t="str">
        <f>"00324755"</f>
        <v>00324755</v>
      </c>
      <c r="G4203" t="s">
        <v>19</v>
      </c>
      <c r="H4203" t="s">
        <v>20</v>
      </c>
      <c r="I4203">
        <v>1531</v>
      </c>
      <c r="J4203" t="s">
        <v>21</v>
      </c>
      <c r="K4203">
        <v>0</v>
      </c>
      <c r="L4203" t="s">
        <v>112</v>
      </c>
      <c r="M4203">
        <v>858</v>
      </c>
    </row>
    <row r="4204" spans="1:13">
      <c r="A4204">
        <v>4198</v>
      </c>
      <c r="B4204">
        <v>96335</v>
      </c>
      <c r="C4204" t="s">
        <v>8982</v>
      </c>
      <c r="D4204" t="s">
        <v>76</v>
      </c>
      <c r="E4204" t="s">
        <v>8983</v>
      </c>
      <c r="F4204" t="str">
        <f>"00271471"</f>
        <v>00271471</v>
      </c>
      <c r="G4204" t="s">
        <v>125</v>
      </c>
      <c r="H4204" t="s">
        <v>20</v>
      </c>
      <c r="I4204">
        <v>1507</v>
      </c>
      <c r="J4204" t="s">
        <v>21</v>
      </c>
      <c r="K4204">
        <v>0</v>
      </c>
      <c r="M4204">
        <v>1388</v>
      </c>
    </row>
    <row r="4205" spans="1:13">
      <c r="A4205">
        <v>4199</v>
      </c>
      <c r="B4205">
        <v>71878</v>
      </c>
      <c r="C4205" t="s">
        <v>8984</v>
      </c>
      <c r="D4205" t="s">
        <v>2330</v>
      </c>
      <c r="E4205" t="s">
        <v>8985</v>
      </c>
      <c r="F4205" t="str">
        <f>"00379147"</f>
        <v>00379147</v>
      </c>
      <c r="G4205" t="s">
        <v>47</v>
      </c>
      <c r="H4205" t="s">
        <v>48</v>
      </c>
      <c r="I4205">
        <v>1623</v>
      </c>
      <c r="J4205" t="s">
        <v>21</v>
      </c>
      <c r="K4205">
        <v>0</v>
      </c>
      <c r="L4205" t="s">
        <v>401</v>
      </c>
      <c r="M4205">
        <v>1268</v>
      </c>
    </row>
    <row r="4206" spans="1:13">
      <c r="A4206">
        <v>4200</v>
      </c>
      <c r="B4206">
        <v>104338</v>
      </c>
      <c r="C4206" t="s">
        <v>8986</v>
      </c>
      <c r="D4206" t="s">
        <v>80</v>
      </c>
      <c r="E4206" t="s">
        <v>8987</v>
      </c>
      <c r="F4206" t="str">
        <f>"00383942"</f>
        <v>00383942</v>
      </c>
      <c r="G4206" t="s">
        <v>273</v>
      </c>
      <c r="H4206" t="s">
        <v>274</v>
      </c>
      <c r="I4206">
        <v>1395</v>
      </c>
      <c r="J4206" t="s">
        <v>21</v>
      </c>
      <c r="K4206">
        <v>0</v>
      </c>
      <c r="M4206">
        <v>1488</v>
      </c>
    </row>
    <row r="4207" spans="1:13">
      <c r="A4207">
        <v>4201</v>
      </c>
      <c r="B4207">
        <v>69858</v>
      </c>
      <c r="C4207" t="s">
        <v>8988</v>
      </c>
      <c r="D4207" t="s">
        <v>80</v>
      </c>
      <c r="E4207" t="s">
        <v>8989</v>
      </c>
      <c r="F4207" t="str">
        <f>"00228022"</f>
        <v>00228022</v>
      </c>
      <c r="G4207" t="s">
        <v>24</v>
      </c>
      <c r="H4207" t="s">
        <v>20</v>
      </c>
      <c r="I4207">
        <v>1577</v>
      </c>
      <c r="J4207" t="s">
        <v>21</v>
      </c>
      <c r="K4207">
        <v>0</v>
      </c>
      <c r="L4207" t="s">
        <v>83</v>
      </c>
      <c r="M4207">
        <v>1188</v>
      </c>
    </row>
    <row r="4208" spans="1:13">
      <c r="A4208">
        <v>4202</v>
      </c>
      <c r="B4208">
        <v>116955</v>
      </c>
      <c r="C4208" t="s">
        <v>8990</v>
      </c>
      <c r="D4208" t="s">
        <v>139</v>
      </c>
      <c r="E4208" t="s">
        <v>8991</v>
      </c>
      <c r="F4208" t="str">
        <f>"00205982"</f>
        <v>00205982</v>
      </c>
      <c r="G4208" t="s">
        <v>92</v>
      </c>
      <c r="H4208" t="s">
        <v>20</v>
      </c>
      <c r="I4208">
        <v>1425</v>
      </c>
      <c r="J4208" t="s">
        <v>21</v>
      </c>
      <c r="K4208">
        <v>0</v>
      </c>
      <c r="M4208">
        <v>1722</v>
      </c>
    </row>
    <row r="4209" spans="1:13">
      <c r="A4209">
        <v>4203</v>
      </c>
      <c r="B4209">
        <v>90484</v>
      </c>
      <c r="C4209" t="s">
        <v>8992</v>
      </c>
      <c r="D4209" t="s">
        <v>90</v>
      </c>
      <c r="E4209" t="s">
        <v>8993</v>
      </c>
      <c r="F4209" t="str">
        <f>"00390142"</f>
        <v>00390142</v>
      </c>
      <c r="G4209" t="s">
        <v>211</v>
      </c>
      <c r="H4209" t="s">
        <v>48</v>
      </c>
      <c r="I4209">
        <v>1628</v>
      </c>
      <c r="J4209" t="s">
        <v>21</v>
      </c>
      <c r="K4209">
        <v>0</v>
      </c>
      <c r="L4209" t="s">
        <v>35</v>
      </c>
      <c r="M4209">
        <v>883</v>
      </c>
    </row>
    <row r="4210" spans="1:13">
      <c r="A4210">
        <v>4204</v>
      </c>
      <c r="B4210">
        <v>51731</v>
      </c>
      <c r="C4210" t="s">
        <v>8994</v>
      </c>
      <c r="D4210" t="s">
        <v>8995</v>
      </c>
      <c r="E4210" t="s">
        <v>8996</v>
      </c>
      <c r="F4210" t="str">
        <f>"00363758"</f>
        <v>00363758</v>
      </c>
      <c r="G4210" t="s">
        <v>985</v>
      </c>
      <c r="H4210" t="s">
        <v>20</v>
      </c>
      <c r="I4210">
        <v>1550</v>
      </c>
      <c r="J4210" t="s">
        <v>21</v>
      </c>
      <c r="K4210">
        <v>6</v>
      </c>
      <c r="M4210">
        <v>1388</v>
      </c>
    </row>
    <row r="4211" spans="1:13">
      <c r="A4211">
        <v>4205</v>
      </c>
      <c r="B4211">
        <v>103063</v>
      </c>
      <c r="C4211" t="s">
        <v>8997</v>
      </c>
      <c r="D4211" t="s">
        <v>76</v>
      </c>
      <c r="E4211" t="s">
        <v>8998</v>
      </c>
      <c r="F4211" t="str">
        <f>"00207595"</f>
        <v>00207595</v>
      </c>
      <c r="G4211" t="s">
        <v>47</v>
      </c>
      <c r="H4211" t="s">
        <v>48</v>
      </c>
      <c r="I4211">
        <v>1623</v>
      </c>
      <c r="J4211" t="s">
        <v>21</v>
      </c>
      <c r="K4211">
        <v>0</v>
      </c>
      <c r="L4211" t="s">
        <v>35</v>
      </c>
      <c r="M4211">
        <v>935</v>
      </c>
    </row>
    <row r="4212" spans="1:13">
      <c r="A4212">
        <v>4206</v>
      </c>
      <c r="B4212">
        <v>46053</v>
      </c>
      <c r="C4212" t="s">
        <v>8999</v>
      </c>
      <c r="D4212" t="s">
        <v>373</v>
      </c>
      <c r="E4212" t="s">
        <v>9000</v>
      </c>
      <c r="F4212" t="str">
        <f>"00348416"</f>
        <v>00348416</v>
      </c>
      <c r="G4212" t="s">
        <v>540</v>
      </c>
      <c r="H4212" t="s">
        <v>20</v>
      </c>
      <c r="I4212">
        <v>1435</v>
      </c>
      <c r="J4212" t="s">
        <v>21</v>
      </c>
      <c r="K4212">
        <v>0</v>
      </c>
      <c r="L4212" t="s">
        <v>35</v>
      </c>
      <c r="M4212">
        <v>880</v>
      </c>
    </row>
    <row r="4213" spans="1:13">
      <c r="A4213">
        <v>4207</v>
      </c>
      <c r="B4213">
        <v>68034</v>
      </c>
      <c r="C4213" t="s">
        <v>9001</v>
      </c>
      <c r="D4213" t="s">
        <v>660</v>
      </c>
      <c r="E4213" t="s">
        <v>9002</v>
      </c>
      <c r="F4213" t="str">
        <f>"201002000276"</f>
        <v>201002000276</v>
      </c>
      <c r="G4213" t="s">
        <v>107</v>
      </c>
      <c r="H4213" t="s">
        <v>20</v>
      </c>
      <c r="I4213">
        <v>1472</v>
      </c>
      <c r="J4213" t="s">
        <v>21</v>
      </c>
      <c r="K4213">
        <v>0</v>
      </c>
      <c r="L4213" t="s">
        <v>35</v>
      </c>
      <c r="M4213">
        <v>908</v>
      </c>
    </row>
    <row r="4214" spans="1:13">
      <c r="A4214">
        <v>4208</v>
      </c>
      <c r="B4214">
        <v>74777</v>
      </c>
      <c r="C4214" t="s">
        <v>9003</v>
      </c>
      <c r="D4214" t="s">
        <v>94</v>
      </c>
      <c r="E4214" t="s">
        <v>9004</v>
      </c>
      <c r="F4214" t="str">
        <f>"00361987"</f>
        <v>00361987</v>
      </c>
      <c r="G4214" t="s">
        <v>2048</v>
      </c>
      <c r="H4214" t="s">
        <v>20</v>
      </c>
      <c r="I4214">
        <v>1633</v>
      </c>
      <c r="J4214" t="s">
        <v>21</v>
      </c>
      <c r="K4214">
        <v>6</v>
      </c>
      <c r="L4214" t="s">
        <v>35</v>
      </c>
      <c r="M4214">
        <v>1000</v>
      </c>
    </row>
    <row r="4215" spans="1:13">
      <c r="A4215">
        <v>4209</v>
      </c>
      <c r="B4215">
        <v>96646</v>
      </c>
      <c r="C4215" t="s">
        <v>9005</v>
      </c>
      <c r="D4215" t="s">
        <v>9006</v>
      </c>
      <c r="E4215" t="s">
        <v>9007</v>
      </c>
      <c r="F4215" t="str">
        <f>"00401981"</f>
        <v>00401981</v>
      </c>
      <c r="G4215" t="s">
        <v>150</v>
      </c>
      <c r="H4215" t="s">
        <v>151</v>
      </c>
      <c r="I4215">
        <v>1699</v>
      </c>
      <c r="J4215" t="s">
        <v>21</v>
      </c>
      <c r="K4215">
        <v>0</v>
      </c>
      <c r="L4215" t="s">
        <v>35</v>
      </c>
      <c r="M4215">
        <v>825</v>
      </c>
    </row>
    <row r="4216" spans="1:13">
      <c r="A4216">
        <v>4210</v>
      </c>
      <c r="B4216">
        <v>84806</v>
      </c>
      <c r="C4216" t="s">
        <v>9008</v>
      </c>
      <c r="D4216" t="s">
        <v>102</v>
      </c>
      <c r="E4216" t="s">
        <v>9009</v>
      </c>
      <c r="F4216" t="str">
        <f>"00003699"</f>
        <v>00003699</v>
      </c>
      <c r="G4216" t="s">
        <v>24</v>
      </c>
      <c r="H4216" t="s">
        <v>20</v>
      </c>
      <c r="I4216">
        <v>1577</v>
      </c>
      <c r="J4216" t="s">
        <v>21</v>
      </c>
      <c r="K4216">
        <v>0</v>
      </c>
      <c r="L4216" t="s">
        <v>35</v>
      </c>
      <c r="M4216">
        <v>858</v>
      </c>
    </row>
    <row r="4217" spans="1:13">
      <c r="A4217">
        <v>4211</v>
      </c>
      <c r="B4217">
        <v>72189</v>
      </c>
      <c r="C4217" t="s">
        <v>9010</v>
      </c>
      <c r="D4217" t="s">
        <v>76</v>
      </c>
      <c r="E4217" t="s">
        <v>9011</v>
      </c>
      <c r="F4217" t="str">
        <f>"00369772"</f>
        <v>00369772</v>
      </c>
      <c r="G4217" t="s">
        <v>2284</v>
      </c>
      <c r="H4217" t="s">
        <v>20</v>
      </c>
      <c r="I4217">
        <v>1465</v>
      </c>
      <c r="J4217" t="s">
        <v>21</v>
      </c>
      <c r="K4217">
        <v>0</v>
      </c>
      <c r="L4217" t="s">
        <v>35</v>
      </c>
      <c r="M4217">
        <v>1283</v>
      </c>
    </row>
    <row r="4218" spans="1:13">
      <c r="A4218">
        <v>4212</v>
      </c>
      <c r="B4218">
        <v>86661</v>
      </c>
      <c r="C4218" t="s">
        <v>9012</v>
      </c>
      <c r="D4218" t="s">
        <v>213</v>
      </c>
      <c r="E4218" t="s">
        <v>9013</v>
      </c>
      <c r="F4218" t="str">
        <f>"00391225"</f>
        <v>00391225</v>
      </c>
      <c r="G4218" t="s">
        <v>2710</v>
      </c>
      <c r="H4218" t="s">
        <v>366</v>
      </c>
      <c r="I4218">
        <v>1691</v>
      </c>
      <c r="J4218" t="s">
        <v>21</v>
      </c>
      <c r="K4218">
        <v>0</v>
      </c>
      <c r="M4218">
        <v>1328</v>
      </c>
    </row>
    <row r="4219" spans="1:13">
      <c r="A4219">
        <v>4213</v>
      </c>
      <c r="B4219">
        <v>59683</v>
      </c>
      <c r="C4219" t="s">
        <v>9014</v>
      </c>
      <c r="D4219" t="s">
        <v>218</v>
      </c>
      <c r="E4219" t="s">
        <v>9015</v>
      </c>
      <c r="F4219" t="str">
        <f>"00351945"</f>
        <v>00351945</v>
      </c>
      <c r="G4219" t="s">
        <v>230</v>
      </c>
      <c r="H4219" t="s">
        <v>20</v>
      </c>
      <c r="I4219">
        <v>1545</v>
      </c>
      <c r="J4219" t="s">
        <v>21</v>
      </c>
      <c r="K4219">
        <v>0</v>
      </c>
      <c r="L4219" t="s">
        <v>35</v>
      </c>
      <c r="M4219">
        <v>1050</v>
      </c>
    </row>
    <row r="4220" spans="1:13">
      <c r="A4220">
        <v>4214</v>
      </c>
      <c r="B4220">
        <v>69071</v>
      </c>
      <c r="C4220" t="s">
        <v>9016</v>
      </c>
      <c r="D4220" t="s">
        <v>80</v>
      </c>
      <c r="E4220" t="s">
        <v>9017</v>
      </c>
      <c r="F4220" t="str">
        <f>"00264708"</f>
        <v>00264708</v>
      </c>
      <c r="G4220" t="s">
        <v>230</v>
      </c>
      <c r="H4220" t="s">
        <v>20</v>
      </c>
      <c r="I4220">
        <v>1545</v>
      </c>
      <c r="J4220" t="s">
        <v>21</v>
      </c>
      <c r="K4220">
        <v>0</v>
      </c>
      <c r="L4220" t="s">
        <v>88</v>
      </c>
      <c r="M4220">
        <v>675</v>
      </c>
    </row>
    <row r="4221" spans="1:13">
      <c r="A4221">
        <v>4215</v>
      </c>
      <c r="B4221">
        <v>97342</v>
      </c>
      <c r="C4221" t="s">
        <v>9018</v>
      </c>
      <c r="D4221" t="s">
        <v>80</v>
      </c>
      <c r="E4221" t="s">
        <v>9019</v>
      </c>
      <c r="F4221" t="str">
        <f>"00264691"</f>
        <v>00264691</v>
      </c>
      <c r="G4221" t="s">
        <v>107</v>
      </c>
      <c r="H4221" t="s">
        <v>20</v>
      </c>
      <c r="I4221">
        <v>1472</v>
      </c>
      <c r="J4221" t="s">
        <v>21</v>
      </c>
      <c r="K4221">
        <v>0</v>
      </c>
      <c r="L4221" t="s">
        <v>88</v>
      </c>
      <c r="M4221">
        <v>650</v>
      </c>
    </row>
    <row r="4222" spans="1:13">
      <c r="A4222">
        <v>4216</v>
      </c>
      <c r="B4222">
        <v>57985</v>
      </c>
      <c r="C4222" t="s">
        <v>9020</v>
      </c>
      <c r="D4222" t="s">
        <v>105</v>
      </c>
      <c r="E4222" t="s">
        <v>9021</v>
      </c>
      <c r="F4222" t="str">
        <f>"00338924"</f>
        <v>00338924</v>
      </c>
      <c r="G4222" t="s">
        <v>230</v>
      </c>
      <c r="H4222" t="s">
        <v>20</v>
      </c>
      <c r="I4222">
        <v>1545</v>
      </c>
      <c r="J4222" t="s">
        <v>21</v>
      </c>
      <c r="K4222">
        <v>0</v>
      </c>
      <c r="L4222" t="s">
        <v>59</v>
      </c>
      <c r="M4222">
        <v>1011</v>
      </c>
    </row>
    <row r="4223" spans="1:13">
      <c r="A4223">
        <v>4217</v>
      </c>
      <c r="B4223">
        <v>86161</v>
      </c>
      <c r="C4223" t="s">
        <v>9022</v>
      </c>
      <c r="D4223" t="s">
        <v>145</v>
      </c>
      <c r="E4223" t="s">
        <v>9023</v>
      </c>
      <c r="F4223" t="str">
        <f>"00396089"</f>
        <v>00396089</v>
      </c>
      <c r="G4223" t="s">
        <v>1079</v>
      </c>
      <c r="H4223" t="s">
        <v>20</v>
      </c>
      <c r="I4223">
        <v>1433</v>
      </c>
      <c r="J4223" t="s">
        <v>21</v>
      </c>
      <c r="K4223">
        <v>0</v>
      </c>
      <c r="M4223">
        <v>1628</v>
      </c>
    </row>
    <row r="4224" spans="1:13">
      <c r="A4224">
        <v>4218</v>
      </c>
      <c r="B4224">
        <v>86790</v>
      </c>
      <c r="C4224" t="s">
        <v>9024</v>
      </c>
      <c r="D4224" t="s">
        <v>444</v>
      </c>
      <c r="E4224" t="s">
        <v>9025</v>
      </c>
      <c r="F4224" t="str">
        <f>"00390659"</f>
        <v>00390659</v>
      </c>
      <c r="G4224" t="s">
        <v>107</v>
      </c>
      <c r="H4224" t="s">
        <v>20</v>
      </c>
      <c r="I4224">
        <v>1472</v>
      </c>
      <c r="J4224" t="s">
        <v>21</v>
      </c>
      <c r="K4224">
        <v>0</v>
      </c>
      <c r="L4224" t="s">
        <v>35</v>
      </c>
      <c r="M4224">
        <v>908</v>
      </c>
    </row>
    <row r="4225" spans="1:13">
      <c r="A4225">
        <v>4219</v>
      </c>
      <c r="B4225">
        <v>63537</v>
      </c>
      <c r="C4225" t="s">
        <v>9026</v>
      </c>
      <c r="D4225" t="s">
        <v>80</v>
      </c>
      <c r="E4225" t="s">
        <v>9027</v>
      </c>
      <c r="F4225" t="str">
        <f>"00240395"</f>
        <v>00240395</v>
      </c>
      <c r="G4225" t="s">
        <v>371</v>
      </c>
      <c r="H4225" t="s">
        <v>20</v>
      </c>
      <c r="I4225">
        <v>1526</v>
      </c>
      <c r="J4225" t="s">
        <v>21</v>
      </c>
      <c r="K4225">
        <v>0</v>
      </c>
      <c r="L4225" t="s">
        <v>88</v>
      </c>
      <c r="M4225">
        <v>400</v>
      </c>
    </row>
    <row r="4226" spans="1:13">
      <c r="A4226">
        <v>4220</v>
      </c>
      <c r="B4226">
        <v>49396</v>
      </c>
      <c r="C4226" t="s">
        <v>9028</v>
      </c>
      <c r="D4226" t="s">
        <v>145</v>
      </c>
      <c r="E4226" t="s">
        <v>9029</v>
      </c>
      <c r="F4226" t="str">
        <f>"00098769"</f>
        <v>00098769</v>
      </c>
      <c r="G4226" t="s">
        <v>38</v>
      </c>
      <c r="H4226" t="s">
        <v>39</v>
      </c>
      <c r="I4226">
        <v>1634</v>
      </c>
      <c r="J4226" t="s">
        <v>21</v>
      </c>
      <c r="K4226">
        <v>6</v>
      </c>
      <c r="L4226" t="s">
        <v>112</v>
      </c>
      <c r="M4226">
        <v>570</v>
      </c>
    </row>
    <row r="4227" spans="1:13">
      <c r="A4227">
        <v>4221</v>
      </c>
      <c r="B4227">
        <v>70317</v>
      </c>
      <c r="C4227" t="s">
        <v>9030</v>
      </c>
      <c r="D4227" t="s">
        <v>180</v>
      </c>
      <c r="E4227" t="s">
        <v>9031</v>
      </c>
      <c r="F4227" t="str">
        <f>"00395801"</f>
        <v>00395801</v>
      </c>
      <c r="G4227" t="s">
        <v>82</v>
      </c>
      <c r="H4227" t="s">
        <v>20</v>
      </c>
      <c r="I4227">
        <v>1475</v>
      </c>
      <c r="J4227" t="s">
        <v>21</v>
      </c>
      <c r="K4227">
        <v>0</v>
      </c>
      <c r="L4227" t="s">
        <v>112</v>
      </c>
      <c r="M4227">
        <v>808</v>
      </c>
    </row>
    <row r="4228" spans="1:13">
      <c r="A4228">
        <v>4222</v>
      </c>
      <c r="B4228">
        <v>102042</v>
      </c>
      <c r="C4228" t="s">
        <v>9032</v>
      </c>
      <c r="D4228" t="s">
        <v>3940</v>
      </c>
      <c r="E4228" t="s">
        <v>9033</v>
      </c>
      <c r="F4228" t="str">
        <f>"00187570"</f>
        <v>00187570</v>
      </c>
      <c r="G4228" t="s">
        <v>1393</v>
      </c>
      <c r="H4228" t="s">
        <v>20</v>
      </c>
      <c r="I4228">
        <v>1498</v>
      </c>
      <c r="J4228" t="s">
        <v>21</v>
      </c>
      <c r="K4228">
        <v>0</v>
      </c>
      <c r="M4228">
        <v>1488</v>
      </c>
    </row>
    <row r="4229" spans="1:13">
      <c r="A4229">
        <v>4223</v>
      </c>
      <c r="B4229">
        <v>90234</v>
      </c>
      <c r="C4229" t="s">
        <v>9034</v>
      </c>
      <c r="D4229" t="s">
        <v>218</v>
      </c>
      <c r="E4229" t="s">
        <v>9035</v>
      </c>
      <c r="F4229" t="str">
        <f>"201511006077"</f>
        <v>201511006077</v>
      </c>
      <c r="G4229" t="s">
        <v>211</v>
      </c>
      <c r="H4229" t="s">
        <v>48</v>
      </c>
      <c r="I4229">
        <v>1628</v>
      </c>
      <c r="J4229" t="s">
        <v>21</v>
      </c>
      <c r="K4229">
        <v>0</v>
      </c>
      <c r="L4229" t="s">
        <v>35</v>
      </c>
      <c r="M4229">
        <v>850</v>
      </c>
    </row>
    <row r="4230" spans="1:13">
      <c r="A4230">
        <v>4224</v>
      </c>
      <c r="B4230">
        <v>95046</v>
      </c>
      <c r="C4230" t="s">
        <v>9036</v>
      </c>
      <c r="D4230" t="s">
        <v>73</v>
      </c>
      <c r="E4230" t="s">
        <v>9037</v>
      </c>
      <c r="F4230" t="str">
        <f>"00022662"</f>
        <v>00022662</v>
      </c>
      <c r="G4230" t="s">
        <v>1869</v>
      </c>
      <c r="H4230" t="s">
        <v>20</v>
      </c>
      <c r="I4230">
        <v>1473</v>
      </c>
      <c r="J4230" t="s">
        <v>21</v>
      </c>
      <c r="K4230">
        <v>0</v>
      </c>
      <c r="L4230" t="s">
        <v>83</v>
      </c>
      <c r="M4230">
        <v>1254</v>
      </c>
    </row>
    <row r="4231" spans="1:13">
      <c r="A4231">
        <v>4225</v>
      </c>
      <c r="B4231">
        <v>65314</v>
      </c>
      <c r="C4231" t="s">
        <v>9038</v>
      </c>
      <c r="D4231" t="s">
        <v>260</v>
      </c>
      <c r="E4231" t="s">
        <v>9039</v>
      </c>
      <c r="F4231" t="str">
        <f>"00355333"</f>
        <v>00355333</v>
      </c>
      <c r="G4231" t="s">
        <v>203</v>
      </c>
      <c r="H4231" t="s">
        <v>20</v>
      </c>
      <c r="I4231">
        <v>1476</v>
      </c>
      <c r="J4231" t="s">
        <v>21</v>
      </c>
      <c r="K4231">
        <v>6</v>
      </c>
      <c r="L4231" t="s">
        <v>83</v>
      </c>
      <c r="M4231">
        <v>928</v>
      </c>
    </row>
    <row r="4232" spans="1:13">
      <c r="A4232">
        <v>4226</v>
      </c>
      <c r="B4232">
        <v>48426</v>
      </c>
      <c r="C4232" t="s">
        <v>9040</v>
      </c>
      <c r="D4232" t="s">
        <v>76</v>
      </c>
      <c r="E4232" t="s">
        <v>9041</v>
      </c>
      <c r="F4232" t="str">
        <f>"00349252"</f>
        <v>00349252</v>
      </c>
      <c r="G4232" t="s">
        <v>19</v>
      </c>
      <c r="H4232" t="s">
        <v>20</v>
      </c>
      <c r="I4232">
        <v>1531</v>
      </c>
      <c r="J4232" t="s">
        <v>21</v>
      </c>
      <c r="K4232">
        <v>0</v>
      </c>
      <c r="L4232" t="s">
        <v>35</v>
      </c>
      <c r="M4232">
        <v>908</v>
      </c>
    </row>
    <row r="4233" spans="1:13">
      <c r="A4233">
        <v>4227</v>
      </c>
      <c r="B4233">
        <v>99180</v>
      </c>
      <c r="C4233" t="s">
        <v>9042</v>
      </c>
      <c r="D4233" t="s">
        <v>6056</v>
      </c>
      <c r="E4233" t="s">
        <v>9043</v>
      </c>
      <c r="F4233" t="str">
        <f>"00342867"</f>
        <v>00342867</v>
      </c>
      <c r="G4233" t="s">
        <v>737</v>
      </c>
      <c r="H4233" t="s">
        <v>20</v>
      </c>
      <c r="I4233">
        <v>1564</v>
      </c>
      <c r="J4233" t="s">
        <v>21</v>
      </c>
      <c r="K4233">
        <v>6</v>
      </c>
      <c r="M4233">
        <v>1356</v>
      </c>
    </row>
    <row r="4234" spans="1:13">
      <c r="A4234">
        <v>4228</v>
      </c>
      <c r="B4234">
        <v>86403</v>
      </c>
      <c r="C4234" t="s">
        <v>9044</v>
      </c>
      <c r="D4234" t="s">
        <v>243</v>
      </c>
      <c r="E4234" t="s">
        <v>9045</v>
      </c>
      <c r="F4234" t="str">
        <f>"00377683"</f>
        <v>00377683</v>
      </c>
      <c r="G4234" t="s">
        <v>245</v>
      </c>
      <c r="H4234" t="s">
        <v>20</v>
      </c>
      <c r="I4234">
        <v>1406</v>
      </c>
      <c r="J4234" t="s">
        <v>21</v>
      </c>
      <c r="K4234">
        <v>0</v>
      </c>
      <c r="M4234">
        <v>1388</v>
      </c>
    </row>
    <row r="4235" spans="1:13">
      <c r="A4235">
        <v>4229</v>
      </c>
      <c r="B4235">
        <v>75419</v>
      </c>
      <c r="C4235" t="s">
        <v>9046</v>
      </c>
      <c r="D4235" t="s">
        <v>121</v>
      </c>
      <c r="E4235" t="s">
        <v>9047</v>
      </c>
      <c r="F4235" t="str">
        <f>"00242024"</f>
        <v>00242024</v>
      </c>
      <c r="G4235" t="s">
        <v>371</v>
      </c>
      <c r="H4235" t="s">
        <v>1671</v>
      </c>
      <c r="I4235">
        <v>1718</v>
      </c>
      <c r="J4235" t="s">
        <v>21</v>
      </c>
      <c r="K4235">
        <v>6</v>
      </c>
      <c r="M4235">
        <v>1088</v>
      </c>
    </row>
    <row r="4236" spans="1:13">
      <c r="A4236">
        <v>4230</v>
      </c>
      <c r="B4236">
        <v>55203</v>
      </c>
      <c r="C4236" t="s">
        <v>9048</v>
      </c>
      <c r="D4236" t="s">
        <v>145</v>
      </c>
      <c r="E4236" t="s">
        <v>9049</v>
      </c>
      <c r="F4236" t="str">
        <f>"00274013"</f>
        <v>00274013</v>
      </c>
      <c r="G4236" t="s">
        <v>230</v>
      </c>
      <c r="H4236" t="s">
        <v>20</v>
      </c>
      <c r="I4236">
        <v>1545</v>
      </c>
      <c r="J4236" t="s">
        <v>21</v>
      </c>
      <c r="K4236">
        <v>0</v>
      </c>
      <c r="M4236">
        <v>1638</v>
      </c>
    </row>
    <row r="4237" spans="1:13">
      <c r="A4237">
        <v>4231</v>
      </c>
      <c r="B4237">
        <v>53509</v>
      </c>
      <c r="C4237" t="s">
        <v>9050</v>
      </c>
      <c r="D4237" t="s">
        <v>243</v>
      </c>
      <c r="E4237" t="s">
        <v>9051</v>
      </c>
      <c r="F4237" t="str">
        <f>"00268783"</f>
        <v>00268783</v>
      </c>
      <c r="G4237" t="s">
        <v>760</v>
      </c>
      <c r="H4237" t="s">
        <v>20</v>
      </c>
      <c r="I4237">
        <v>1432</v>
      </c>
      <c r="J4237" t="s">
        <v>21</v>
      </c>
      <c r="K4237">
        <v>0</v>
      </c>
      <c r="L4237" t="s">
        <v>83</v>
      </c>
      <c r="M4237">
        <v>1368</v>
      </c>
    </row>
    <row r="4238" spans="1:13">
      <c r="A4238">
        <v>4232</v>
      </c>
      <c r="B4238">
        <v>69806</v>
      </c>
      <c r="C4238" t="s">
        <v>9052</v>
      </c>
      <c r="D4238" t="s">
        <v>145</v>
      </c>
      <c r="E4238" t="s">
        <v>9053</v>
      </c>
      <c r="F4238" t="str">
        <f>"00102192"</f>
        <v>00102192</v>
      </c>
      <c r="G4238" t="s">
        <v>418</v>
      </c>
      <c r="H4238" t="s">
        <v>234</v>
      </c>
      <c r="I4238">
        <v>1335</v>
      </c>
      <c r="J4238" t="s">
        <v>21</v>
      </c>
      <c r="K4238">
        <v>6</v>
      </c>
      <c r="M4238">
        <v>1688</v>
      </c>
    </row>
    <row r="4239" spans="1:13">
      <c r="A4239">
        <v>4233</v>
      </c>
      <c r="B4239">
        <v>74205</v>
      </c>
      <c r="C4239" t="s">
        <v>9054</v>
      </c>
      <c r="D4239" t="s">
        <v>105</v>
      </c>
      <c r="E4239" t="s">
        <v>9055</v>
      </c>
      <c r="F4239" t="str">
        <f>"00375379"</f>
        <v>00375379</v>
      </c>
      <c r="G4239" t="s">
        <v>284</v>
      </c>
      <c r="H4239" t="s">
        <v>270</v>
      </c>
      <c r="I4239">
        <v>1586</v>
      </c>
      <c r="J4239" t="s">
        <v>21</v>
      </c>
      <c r="K4239">
        <v>0</v>
      </c>
      <c r="L4239" t="s">
        <v>88</v>
      </c>
      <c r="M4239">
        <v>700</v>
      </c>
    </row>
    <row r="4240" spans="1:13">
      <c r="A4240">
        <v>4234</v>
      </c>
      <c r="B4240">
        <v>58282</v>
      </c>
      <c r="C4240" t="s">
        <v>9056</v>
      </c>
      <c r="D4240" t="s">
        <v>94</v>
      </c>
      <c r="E4240" t="s">
        <v>9057</v>
      </c>
      <c r="F4240" t="str">
        <f>"201511013376"</f>
        <v>201511013376</v>
      </c>
      <c r="G4240" t="s">
        <v>125</v>
      </c>
      <c r="H4240" t="s">
        <v>20</v>
      </c>
      <c r="I4240">
        <v>1507</v>
      </c>
      <c r="J4240" t="s">
        <v>21</v>
      </c>
      <c r="K4240">
        <v>0</v>
      </c>
      <c r="M4240">
        <v>1538</v>
      </c>
    </row>
    <row r="4241" spans="1:13">
      <c r="A4241">
        <v>4235</v>
      </c>
      <c r="B4241">
        <v>111161</v>
      </c>
      <c r="C4241" t="s">
        <v>9058</v>
      </c>
      <c r="D4241" t="s">
        <v>163</v>
      </c>
      <c r="E4241" t="s">
        <v>9059</v>
      </c>
      <c r="F4241" t="str">
        <f>"00409780"</f>
        <v>00409780</v>
      </c>
      <c r="G4241" t="s">
        <v>19</v>
      </c>
      <c r="H4241" t="s">
        <v>20</v>
      </c>
      <c r="I4241">
        <v>1531</v>
      </c>
      <c r="J4241" t="s">
        <v>21</v>
      </c>
      <c r="K4241">
        <v>0</v>
      </c>
      <c r="L4241" t="s">
        <v>88</v>
      </c>
      <c r="M4241">
        <v>525</v>
      </c>
    </row>
    <row r="4242" spans="1:13">
      <c r="A4242">
        <v>4236</v>
      </c>
      <c r="B4242">
        <v>56191</v>
      </c>
      <c r="C4242" t="s">
        <v>9060</v>
      </c>
      <c r="D4242" t="s">
        <v>105</v>
      </c>
      <c r="E4242" t="s">
        <v>9061</v>
      </c>
      <c r="F4242" t="str">
        <f>"00385318"</f>
        <v>00385318</v>
      </c>
      <c r="G4242" t="s">
        <v>974</v>
      </c>
      <c r="H4242" t="s">
        <v>20</v>
      </c>
      <c r="I4242">
        <v>1449</v>
      </c>
      <c r="J4242" t="s">
        <v>21</v>
      </c>
      <c r="K4242">
        <v>6</v>
      </c>
      <c r="L4242" t="s">
        <v>35</v>
      </c>
      <c r="M4242">
        <v>960</v>
      </c>
    </row>
    <row r="4243" spans="1:13">
      <c r="A4243">
        <v>4237</v>
      </c>
      <c r="B4243">
        <v>101092</v>
      </c>
      <c r="C4243" t="s">
        <v>9062</v>
      </c>
      <c r="D4243" t="s">
        <v>316</v>
      </c>
      <c r="E4243" t="s">
        <v>9063</v>
      </c>
      <c r="F4243" t="str">
        <f>"00382206"</f>
        <v>00382206</v>
      </c>
      <c r="G4243" t="s">
        <v>87</v>
      </c>
      <c r="H4243" t="s">
        <v>20</v>
      </c>
      <c r="I4243">
        <v>1436</v>
      </c>
      <c r="J4243" t="s">
        <v>21</v>
      </c>
      <c r="K4243">
        <v>0</v>
      </c>
      <c r="M4243">
        <v>1358</v>
      </c>
    </row>
    <row r="4244" spans="1:13">
      <c r="A4244">
        <v>4238</v>
      </c>
      <c r="B4244">
        <v>92581</v>
      </c>
      <c r="C4244" t="s">
        <v>9064</v>
      </c>
      <c r="D4244" t="s">
        <v>180</v>
      </c>
      <c r="E4244" t="s">
        <v>9065</v>
      </c>
      <c r="F4244" t="str">
        <f>"00416755"</f>
        <v>00416755</v>
      </c>
      <c r="G4244" t="s">
        <v>278</v>
      </c>
      <c r="H4244" t="s">
        <v>20</v>
      </c>
      <c r="I4244">
        <v>1441</v>
      </c>
      <c r="J4244" t="s">
        <v>21</v>
      </c>
      <c r="K4244">
        <v>0</v>
      </c>
      <c r="M4244">
        <v>1618</v>
      </c>
    </row>
    <row r="4245" spans="1:13">
      <c r="A4245">
        <v>4239</v>
      </c>
      <c r="B4245">
        <v>59138</v>
      </c>
      <c r="C4245" t="s">
        <v>9064</v>
      </c>
      <c r="D4245" t="s">
        <v>163</v>
      </c>
      <c r="E4245" t="s">
        <v>9066</v>
      </c>
      <c r="F4245" t="str">
        <f>"00070525"</f>
        <v>00070525</v>
      </c>
      <c r="G4245" t="s">
        <v>465</v>
      </c>
      <c r="H4245" t="s">
        <v>20</v>
      </c>
      <c r="I4245">
        <v>1534</v>
      </c>
      <c r="J4245" t="s">
        <v>21</v>
      </c>
      <c r="K4245">
        <v>0</v>
      </c>
      <c r="L4245" t="s">
        <v>35</v>
      </c>
      <c r="M4245">
        <v>950</v>
      </c>
    </row>
    <row r="4246" spans="1:13">
      <c r="A4246">
        <v>4240</v>
      </c>
      <c r="B4246">
        <v>70178</v>
      </c>
      <c r="C4246" t="s">
        <v>9067</v>
      </c>
      <c r="D4246" t="s">
        <v>163</v>
      </c>
      <c r="E4246" t="s">
        <v>9068</v>
      </c>
      <c r="F4246" t="str">
        <f>"00399656"</f>
        <v>00399656</v>
      </c>
      <c r="G4246" t="s">
        <v>150</v>
      </c>
      <c r="H4246" t="s">
        <v>151</v>
      </c>
      <c r="I4246">
        <v>1699</v>
      </c>
      <c r="J4246" t="s">
        <v>21</v>
      </c>
      <c r="K4246">
        <v>0</v>
      </c>
      <c r="L4246" t="s">
        <v>59</v>
      </c>
      <c r="M4246">
        <v>922</v>
      </c>
    </row>
    <row r="4247" spans="1:13">
      <c r="A4247">
        <v>4241</v>
      </c>
      <c r="B4247">
        <v>116940</v>
      </c>
      <c r="C4247" t="s">
        <v>9069</v>
      </c>
      <c r="D4247" t="s">
        <v>260</v>
      </c>
      <c r="E4247" t="s">
        <v>9070</v>
      </c>
      <c r="F4247" t="str">
        <f>"201512003785"</f>
        <v>201512003785</v>
      </c>
      <c r="G4247" t="s">
        <v>19</v>
      </c>
      <c r="H4247" t="s">
        <v>20</v>
      </c>
      <c r="I4247">
        <v>1531</v>
      </c>
      <c r="J4247" t="s">
        <v>21</v>
      </c>
      <c r="K4247">
        <v>0</v>
      </c>
      <c r="M4247">
        <v>1400</v>
      </c>
    </row>
    <row r="4248" spans="1:13">
      <c r="A4248">
        <v>4242</v>
      </c>
      <c r="B4248">
        <v>62909</v>
      </c>
      <c r="C4248" t="s">
        <v>9071</v>
      </c>
      <c r="D4248" t="s">
        <v>145</v>
      </c>
      <c r="E4248" t="s">
        <v>9072</v>
      </c>
      <c r="F4248" t="str">
        <f>"00282184"</f>
        <v>00282184</v>
      </c>
      <c r="G4248" t="s">
        <v>19</v>
      </c>
      <c r="H4248" t="s">
        <v>20</v>
      </c>
      <c r="I4248">
        <v>1531</v>
      </c>
      <c r="J4248" t="s">
        <v>21</v>
      </c>
      <c r="K4248">
        <v>0</v>
      </c>
      <c r="L4248" t="s">
        <v>35</v>
      </c>
      <c r="M4248">
        <v>886</v>
      </c>
    </row>
    <row r="4249" spans="1:13">
      <c r="A4249">
        <v>4243</v>
      </c>
      <c r="B4249">
        <v>112612</v>
      </c>
      <c r="C4249" t="s">
        <v>9073</v>
      </c>
      <c r="D4249" t="s">
        <v>76</v>
      </c>
      <c r="E4249" t="s">
        <v>9074</v>
      </c>
      <c r="F4249" t="str">
        <f>"00410917"</f>
        <v>00410917</v>
      </c>
      <c r="G4249" t="s">
        <v>2305</v>
      </c>
      <c r="H4249" t="s">
        <v>2306</v>
      </c>
      <c r="I4249">
        <v>1369</v>
      </c>
      <c r="J4249" t="s">
        <v>21</v>
      </c>
      <c r="K4249">
        <v>0</v>
      </c>
      <c r="L4249" t="s">
        <v>35</v>
      </c>
      <c r="M4249">
        <v>1058</v>
      </c>
    </row>
    <row r="4250" spans="1:13">
      <c r="A4250">
        <v>4244</v>
      </c>
      <c r="B4250">
        <v>85530</v>
      </c>
      <c r="C4250" t="s">
        <v>9075</v>
      </c>
      <c r="D4250" t="s">
        <v>76</v>
      </c>
      <c r="E4250" t="s">
        <v>9076</v>
      </c>
      <c r="F4250" t="str">
        <f>"00366361"</f>
        <v>00366361</v>
      </c>
      <c r="G4250" t="s">
        <v>107</v>
      </c>
      <c r="H4250" t="s">
        <v>20</v>
      </c>
      <c r="I4250">
        <v>1472</v>
      </c>
      <c r="J4250" t="s">
        <v>21</v>
      </c>
      <c r="K4250">
        <v>0</v>
      </c>
      <c r="M4250">
        <v>1693</v>
      </c>
    </row>
    <row r="4251" spans="1:13">
      <c r="A4251">
        <v>4245</v>
      </c>
      <c r="B4251">
        <v>108095</v>
      </c>
      <c r="C4251" t="s">
        <v>9077</v>
      </c>
      <c r="D4251" t="s">
        <v>1680</v>
      </c>
      <c r="E4251" t="s">
        <v>9078</v>
      </c>
      <c r="F4251" t="str">
        <f>"00354646"</f>
        <v>00354646</v>
      </c>
      <c r="G4251" t="s">
        <v>38</v>
      </c>
      <c r="H4251" t="s">
        <v>39</v>
      </c>
      <c r="I4251">
        <v>1634</v>
      </c>
      <c r="J4251" t="s">
        <v>21</v>
      </c>
      <c r="K4251">
        <v>0</v>
      </c>
      <c r="L4251" t="s">
        <v>88</v>
      </c>
      <c r="M4251">
        <v>400</v>
      </c>
    </row>
    <row r="4252" spans="1:13">
      <c r="A4252">
        <v>4246</v>
      </c>
      <c r="B4252">
        <v>72895</v>
      </c>
      <c r="C4252" t="s">
        <v>9079</v>
      </c>
      <c r="D4252" t="s">
        <v>76</v>
      </c>
      <c r="E4252" t="s">
        <v>9080</v>
      </c>
      <c r="F4252" t="str">
        <f>"00371383"</f>
        <v>00371383</v>
      </c>
      <c r="G4252" t="s">
        <v>639</v>
      </c>
      <c r="H4252" t="s">
        <v>48</v>
      </c>
      <c r="I4252">
        <v>1629</v>
      </c>
      <c r="J4252" t="s">
        <v>21</v>
      </c>
      <c r="K4252">
        <v>0</v>
      </c>
      <c r="L4252" t="s">
        <v>35</v>
      </c>
      <c r="M4252">
        <v>823</v>
      </c>
    </row>
    <row r="4253" spans="1:13">
      <c r="A4253">
        <v>4247</v>
      </c>
      <c r="B4253">
        <v>93982</v>
      </c>
      <c r="C4253" t="s">
        <v>9081</v>
      </c>
      <c r="D4253" t="s">
        <v>905</v>
      </c>
      <c r="E4253" t="s">
        <v>9082</v>
      </c>
      <c r="F4253" t="str">
        <f>"00420149"</f>
        <v>00420149</v>
      </c>
      <c r="G4253" t="s">
        <v>1753</v>
      </c>
      <c r="H4253" t="s">
        <v>20</v>
      </c>
      <c r="I4253">
        <v>1544</v>
      </c>
      <c r="J4253" t="s">
        <v>21</v>
      </c>
      <c r="K4253">
        <v>0</v>
      </c>
      <c r="L4253" t="s">
        <v>25</v>
      </c>
      <c r="M4253">
        <v>1228</v>
      </c>
    </row>
    <row r="4254" spans="1:13">
      <c r="A4254">
        <v>4248</v>
      </c>
      <c r="B4254">
        <v>68833</v>
      </c>
      <c r="C4254" t="s">
        <v>9083</v>
      </c>
      <c r="D4254" t="s">
        <v>180</v>
      </c>
      <c r="E4254" t="s">
        <v>9084</v>
      </c>
      <c r="F4254" t="str">
        <f>"00386897"</f>
        <v>00386897</v>
      </c>
      <c r="G4254" t="s">
        <v>502</v>
      </c>
      <c r="H4254" t="s">
        <v>503</v>
      </c>
      <c r="I4254">
        <v>1359</v>
      </c>
      <c r="J4254" t="s">
        <v>21</v>
      </c>
      <c r="K4254">
        <v>0</v>
      </c>
      <c r="L4254" t="s">
        <v>83</v>
      </c>
      <c r="M4254">
        <v>1238</v>
      </c>
    </row>
    <row r="4255" spans="1:13">
      <c r="A4255">
        <v>4249</v>
      </c>
      <c r="B4255">
        <v>46339</v>
      </c>
      <c r="C4255" t="s">
        <v>9085</v>
      </c>
      <c r="D4255" t="s">
        <v>2130</v>
      </c>
      <c r="E4255" t="s">
        <v>9086</v>
      </c>
      <c r="F4255" t="str">
        <f>"00343623"</f>
        <v>00343623</v>
      </c>
      <c r="G4255" t="s">
        <v>125</v>
      </c>
      <c r="H4255" t="s">
        <v>20</v>
      </c>
      <c r="I4255">
        <v>1507</v>
      </c>
      <c r="J4255" t="s">
        <v>21</v>
      </c>
      <c r="K4255">
        <v>0</v>
      </c>
      <c r="L4255" t="s">
        <v>35</v>
      </c>
      <c r="M4255">
        <v>1000</v>
      </c>
    </row>
    <row r="4256" spans="1:13">
      <c r="A4256">
        <v>4250</v>
      </c>
      <c r="B4256">
        <v>91853</v>
      </c>
      <c r="C4256" t="s">
        <v>9087</v>
      </c>
      <c r="D4256" t="s">
        <v>205</v>
      </c>
      <c r="E4256" t="s">
        <v>9088</v>
      </c>
      <c r="F4256" t="str">
        <f>"00255824"</f>
        <v>00255824</v>
      </c>
      <c r="G4256" t="s">
        <v>107</v>
      </c>
      <c r="H4256" t="s">
        <v>20</v>
      </c>
      <c r="I4256">
        <v>1472</v>
      </c>
      <c r="J4256" t="s">
        <v>21</v>
      </c>
      <c r="K4256">
        <v>0</v>
      </c>
      <c r="L4256" t="s">
        <v>35</v>
      </c>
      <c r="M4256">
        <v>975</v>
      </c>
    </row>
    <row r="4257" spans="1:13">
      <c r="A4257">
        <v>4251</v>
      </c>
      <c r="B4257">
        <v>96803</v>
      </c>
      <c r="C4257" t="s">
        <v>9089</v>
      </c>
      <c r="D4257" t="s">
        <v>76</v>
      </c>
      <c r="E4257" t="s">
        <v>9090</v>
      </c>
      <c r="F4257" t="str">
        <f>"00322349"</f>
        <v>00322349</v>
      </c>
      <c r="G4257" t="s">
        <v>561</v>
      </c>
      <c r="H4257" t="s">
        <v>20</v>
      </c>
      <c r="I4257">
        <v>1574</v>
      </c>
      <c r="J4257" t="s">
        <v>21</v>
      </c>
      <c r="K4257">
        <v>0</v>
      </c>
      <c r="L4257" t="s">
        <v>35</v>
      </c>
      <c r="M4257">
        <v>1008</v>
      </c>
    </row>
    <row r="4258" spans="1:13">
      <c r="A4258">
        <v>4252</v>
      </c>
      <c r="B4258">
        <v>69275</v>
      </c>
      <c r="C4258" t="s">
        <v>9091</v>
      </c>
      <c r="D4258" t="s">
        <v>209</v>
      </c>
      <c r="E4258" t="s">
        <v>9092</v>
      </c>
      <c r="F4258" t="str">
        <f>"00400721"</f>
        <v>00400721</v>
      </c>
      <c r="G4258" t="s">
        <v>1695</v>
      </c>
      <c r="H4258" t="s">
        <v>20</v>
      </c>
      <c r="I4258">
        <v>1533</v>
      </c>
      <c r="J4258" t="s">
        <v>21</v>
      </c>
      <c r="K4258">
        <v>0</v>
      </c>
      <c r="L4258" t="s">
        <v>59</v>
      </c>
      <c r="M4258">
        <v>864</v>
      </c>
    </row>
    <row r="4259" spans="1:13">
      <c r="A4259">
        <v>4253</v>
      </c>
      <c r="B4259">
        <v>108150</v>
      </c>
      <c r="C4259" t="s">
        <v>9093</v>
      </c>
      <c r="D4259" t="s">
        <v>9094</v>
      </c>
      <c r="E4259" t="s">
        <v>9095</v>
      </c>
      <c r="F4259" t="str">
        <f>"00411407"</f>
        <v>00411407</v>
      </c>
      <c r="G4259" t="s">
        <v>38</v>
      </c>
      <c r="H4259" t="s">
        <v>119</v>
      </c>
      <c r="I4259">
        <v>1674</v>
      </c>
      <c r="J4259" t="s">
        <v>21</v>
      </c>
      <c r="K4259">
        <v>6</v>
      </c>
      <c r="L4259" t="s">
        <v>59</v>
      </c>
      <c r="M4259">
        <v>1128</v>
      </c>
    </row>
    <row r="4260" spans="1:13">
      <c r="A4260">
        <v>4254</v>
      </c>
      <c r="B4260">
        <v>106737</v>
      </c>
      <c r="C4260" t="s">
        <v>9096</v>
      </c>
      <c r="D4260" t="s">
        <v>73</v>
      </c>
      <c r="E4260" t="s">
        <v>9097</v>
      </c>
      <c r="F4260" t="str">
        <f>"00389694"</f>
        <v>00389694</v>
      </c>
      <c r="G4260" t="s">
        <v>371</v>
      </c>
      <c r="H4260" t="s">
        <v>20</v>
      </c>
      <c r="I4260">
        <v>1526</v>
      </c>
      <c r="J4260" t="s">
        <v>21</v>
      </c>
      <c r="K4260">
        <v>6</v>
      </c>
      <c r="L4260" t="s">
        <v>35</v>
      </c>
      <c r="M4260">
        <v>469</v>
      </c>
    </row>
    <row r="4261" spans="1:13">
      <c r="A4261">
        <v>4255</v>
      </c>
      <c r="B4261">
        <v>51156</v>
      </c>
      <c r="C4261" t="s">
        <v>9098</v>
      </c>
      <c r="D4261" t="s">
        <v>243</v>
      </c>
      <c r="E4261" t="s">
        <v>9099</v>
      </c>
      <c r="F4261" t="str">
        <f>"00364962"</f>
        <v>00364962</v>
      </c>
      <c r="G4261" t="s">
        <v>107</v>
      </c>
      <c r="H4261" t="s">
        <v>20</v>
      </c>
      <c r="I4261">
        <v>1472</v>
      </c>
      <c r="J4261" t="s">
        <v>21</v>
      </c>
      <c r="K4261">
        <v>0</v>
      </c>
      <c r="L4261" t="s">
        <v>88</v>
      </c>
      <c r="M4261">
        <v>558</v>
      </c>
    </row>
    <row r="4262" spans="1:13">
      <c r="A4262">
        <v>4256</v>
      </c>
      <c r="B4262">
        <v>62793</v>
      </c>
      <c r="C4262" t="s">
        <v>9100</v>
      </c>
      <c r="D4262" t="s">
        <v>105</v>
      </c>
      <c r="E4262" t="s">
        <v>9101</v>
      </c>
      <c r="F4262" t="str">
        <f>"00349162"</f>
        <v>00349162</v>
      </c>
      <c r="G4262" t="s">
        <v>19</v>
      </c>
      <c r="H4262" t="s">
        <v>20</v>
      </c>
      <c r="I4262">
        <v>1531</v>
      </c>
      <c r="J4262" t="s">
        <v>21</v>
      </c>
      <c r="K4262">
        <v>0</v>
      </c>
      <c r="L4262" t="s">
        <v>83</v>
      </c>
      <c r="M4262">
        <v>1228</v>
      </c>
    </row>
    <row r="4263" spans="1:13">
      <c r="A4263">
        <v>4257</v>
      </c>
      <c r="B4263">
        <v>93123</v>
      </c>
      <c r="C4263" t="s">
        <v>9102</v>
      </c>
      <c r="D4263" t="s">
        <v>76</v>
      </c>
      <c r="E4263" t="s">
        <v>9103</v>
      </c>
      <c r="F4263" t="str">
        <f>"00399500"</f>
        <v>00399500</v>
      </c>
      <c r="G4263" t="s">
        <v>1345</v>
      </c>
      <c r="H4263" t="s">
        <v>137</v>
      </c>
      <c r="I4263">
        <v>1606</v>
      </c>
      <c r="J4263" t="s">
        <v>21</v>
      </c>
      <c r="K4263">
        <v>0</v>
      </c>
      <c r="L4263" t="s">
        <v>35</v>
      </c>
      <c r="M4263">
        <v>1175</v>
      </c>
    </row>
    <row r="4264" spans="1:13">
      <c r="A4264">
        <v>4258</v>
      </c>
      <c r="B4264">
        <v>103933</v>
      </c>
      <c r="C4264" t="s">
        <v>9104</v>
      </c>
      <c r="D4264" t="s">
        <v>98</v>
      </c>
      <c r="E4264" t="s">
        <v>9105</v>
      </c>
      <c r="F4264" t="str">
        <f>"00380088"</f>
        <v>00380088</v>
      </c>
      <c r="G4264" t="s">
        <v>380</v>
      </c>
      <c r="H4264" t="s">
        <v>20</v>
      </c>
      <c r="I4264">
        <v>1496</v>
      </c>
      <c r="J4264" t="s">
        <v>21</v>
      </c>
      <c r="K4264">
        <v>0</v>
      </c>
      <c r="L4264" t="s">
        <v>35</v>
      </c>
      <c r="M4264">
        <v>1200</v>
      </c>
    </row>
    <row r="4265" spans="1:13">
      <c r="A4265">
        <v>4259</v>
      </c>
      <c r="B4265">
        <v>82380</v>
      </c>
      <c r="C4265" t="s">
        <v>9106</v>
      </c>
      <c r="D4265" t="s">
        <v>566</v>
      </c>
      <c r="E4265" t="s">
        <v>9107</v>
      </c>
      <c r="F4265" t="str">
        <f>"00386365"</f>
        <v>00386365</v>
      </c>
      <c r="G4265" t="s">
        <v>1005</v>
      </c>
      <c r="H4265" t="s">
        <v>20</v>
      </c>
      <c r="I4265">
        <v>1580</v>
      </c>
      <c r="J4265" t="s">
        <v>21</v>
      </c>
      <c r="K4265">
        <v>6</v>
      </c>
      <c r="L4265" t="s">
        <v>35</v>
      </c>
      <c r="M4265">
        <v>985</v>
      </c>
    </row>
    <row r="4266" spans="1:13">
      <c r="A4266">
        <v>4260</v>
      </c>
      <c r="B4266">
        <v>107806</v>
      </c>
      <c r="C4266" t="s">
        <v>9108</v>
      </c>
      <c r="D4266" t="s">
        <v>105</v>
      </c>
      <c r="E4266" t="s">
        <v>9109</v>
      </c>
      <c r="F4266" t="str">
        <f>"00416089"</f>
        <v>00416089</v>
      </c>
      <c r="G4266" t="s">
        <v>4415</v>
      </c>
      <c r="H4266" t="s">
        <v>535</v>
      </c>
      <c r="I4266">
        <v>1664</v>
      </c>
      <c r="J4266" t="s">
        <v>21</v>
      </c>
      <c r="K4266">
        <v>0</v>
      </c>
      <c r="L4266" t="s">
        <v>35</v>
      </c>
      <c r="M4266">
        <v>1108</v>
      </c>
    </row>
    <row r="4267" spans="1:13">
      <c r="A4267">
        <v>4261</v>
      </c>
      <c r="B4267">
        <v>99305</v>
      </c>
      <c r="C4267" t="s">
        <v>9110</v>
      </c>
      <c r="D4267" t="s">
        <v>495</v>
      </c>
      <c r="E4267" t="s">
        <v>9111</v>
      </c>
      <c r="F4267" t="str">
        <f>"00374401"</f>
        <v>00374401</v>
      </c>
      <c r="G4267" t="s">
        <v>590</v>
      </c>
      <c r="H4267" t="s">
        <v>20</v>
      </c>
      <c r="I4267">
        <v>1451</v>
      </c>
      <c r="J4267" t="s">
        <v>21</v>
      </c>
      <c r="K4267">
        <v>0</v>
      </c>
      <c r="L4267" t="s">
        <v>35</v>
      </c>
      <c r="M4267">
        <v>1022</v>
      </c>
    </row>
    <row r="4268" spans="1:13">
      <c r="A4268">
        <v>4262</v>
      </c>
      <c r="B4268">
        <v>60267</v>
      </c>
      <c r="C4268" t="s">
        <v>9112</v>
      </c>
      <c r="D4268" t="s">
        <v>243</v>
      </c>
      <c r="E4268" t="s">
        <v>9113</v>
      </c>
      <c r="F4268" t="str">
        <f>"00294076"</f>
        <v>00294076</v>
      </c>
      <c r="G4268" t="s">
        <v>111</v>
      </c>
      <c r="H4268" t="s">
        <v>48</v>
      </c>
      <c r="I4268">
        <v>1620</v>
      </c>
      <c r="J4268" t="s">
        <v>21</v>
      </c>
      <c r="K4268">
        <v>0</v>
      </c>
      <c r="L4268" t="s">
        <v>112</v>
      </c>
      <c r="M4268">
        <v>800</v>
      </c>
    </row>
    <row r="4269" spans="1:13">
      <c r="A4269">
        <v>4263</v>
      </c>
      <c r="B4269">
        <v>99579</v>
      </c>
      <c r="C4269" t="s">
        <v>9114</v>
      </c>
      <c r="D4269" t="s">
        <v>76</v>
      </c>
      <c r="E4269" t="s">
        <v>9115</v>
      </c>
      <c r="F4269" t="str">
        <f>"00282524"</f>
        <v>00282524</v>
      </c>
      <c r="G4269" t="s">
        <v>1556</v>
      </c>
      <c r="H4269" t="s">
        <v>20</v>
      </c>
      <c r="I4269">
        <v>1530</v>
      </c>
      <c r="J4269" t="s">
        <v>21</v>
      </c>
      <c r="K4269">
        <v>0</v>
      </c>
      <c r="L4269" t="s">
        <v>35</v>
      </c>
      <c r="M4269">
        <v>958</v>
      </c>
    </row>
    <row r="4270" spans="1:13">
      <c r="A4270">
        <v>4264</v>
      </c>
      <c r="B4270">
        <v>48350</v>
      </c>
      <c r="C4270" t="s">
        <v>9116</v>
      </c>
      <c r="D4270" t="s">
        <v>121</v>
      </c>
      <c r="E4270" t="s">
        <v>9117</v>
      </c>
      <c r="F4270" t="str">
        <f>"00238395"</f>
        <v>00238395</v>
      </c>
      <c r="G4270" t="s">
        <v>1712</v>
      </c>
      <c r="H4270" t="s">
        <v>241</v>
      </c>
      <c r="I4270">
        <v>1362</v>
      </c>
      <c r="J4270" t="s">
        <v>21</v>
      </c>
      <c r="K4270">
        <v>0</v>
      </c>
      <c r="M4270">
        <v>1693</v>
      </c>
    </row>
    <row r="4271" spans="1:13">
      <c r="A4271">
        <v>4265</v>
      </c>
      <c r="B4271">
        <v>54319</v>
      </c>
      <c r="C4271" t="s">
        <v>9118</v>
      </c>
      <c r="D4271" t="s">
        <v>121</v>
      </c>
      <c r="E4271" t="s">
        <v>9119</v>
      </c>
      <c r="F4271" t="str">
        <f>"00364816"</f>
        <v>00364816</v>
      </c>
      <c r="G4271" t="s">
        <v>1160</v>
      </c>
      <c r="H4271" t="s">
        <v>20</v>
      </c>
      <c r="I4271">
        <v>1424</v>
      </c>
      <c r="J4271" t="s">
        <v>21</v>
      </c>
      <c r="K4271">
        <v>0</v>
      </c>
      <c r="L4271" t="s">
        <v>35</v>
      </c>
      <c r="M4271">
        <v>1175</v>
      </c>
    </row>
    <row r="4272" spans="1:13">
      <c r="A4272">
        <v>4266</v>
      </c>
      <c r="B4272">
        <v>113528</v>
      </c>
      <c r="C4272" t="s">
        <v>9120</v>
      </c>
      <c r="D4272" t="s">
        <v>80</v>
      </c>
      <c r="E4272" t="s">
        <v>9121</v>
      </c>
      <c r="F4272" t="str">
        <f>"00421510"</f>
        <v>00421510</v>
      </c>
      <c r="G4272" t="s">
        <v>502</v>
      </c>
      <c r="H4272" t="s">
        <v>503</v>
      </c>
      <c r="I4272">
        <v>1359</v>
      </c>
      <c r="J4272" t="s">
        <v>21</v>
      </c>
      <c r="K4272">
        <v>0</v>
      </c>
      <c r="L4272" t="s">
        <v>88</v>
      </c>
      <c r="M4272">
        <v>858</v>
      </c>
    </row>
    <row r="4273" spans="1:13">
      <c r="A4273">
        <v>4267</v>
      </c>
      <c r="B4273">
        <v>103255</v>
      </c>
      <c r="C4273" t="s">
        <v>9122</v>
      </c>
      <c r="D4273" t="s">
        <v>109</v>
      </c>
      <c r="E4273" t="s">
        <v>9123</v>
      </c>
      <c r="F4273" t="str">
        <f>"00249710"</f>
        <v>00249710</v>
      </c>
      <c r="G4273" t="s">
        <v>211</v>
      </c>
      <c r="H4273" t="s">
        <v>48</v>
      </c>
      <c r="I4273">
        <v>1628</v>
      </c>
      <c r="J4273" t="s">
        <v>21</v>
      </c>
      <c r="K4273">
        <v>0</v>
      </c>
      <c r="M4273">
        <v>1438</v>
      </c>
    </row>
    <row r="4274" spans="1:13">
      <c r="A4274">
        <v>4268</v>
      </c>
      <c r="B4274">
        <v>67990</v>
      </c>
      <c r="C4274" t="s">
        <v>9124</v>
      </c>
      <c r="D4274" t="s">
        <v>76</v>
      </c>
      <c r="E4274" t="s">
        <v>9125</v>
      </c>
      <c r="F4274" t="str">
        <f>"00318188"</f>
        <v>00318188</v>
      </c>
      <c r="G4274" t="s">
        <v>196</v>
      </c>
      <c r="H4274" t="s">
        <v>20</v>
      </c>
      <c r="I4274">
        <v>1512</v>
      </c>
      <c r="J4274" t="s">
        <v>21</v>
      </c>
      <c r="K4274">
        <v>6</v>
      </c>
      <c r="L4274" t="s">
        <v>35</v>
      </c>
      <c r="M4274">
        <v>908</v>
      </c>
    </row>
    <row r="4275" spans="1:13">
      <c r="A4275">
        <v>4269</v>
      </c>
      <c r="B4275">
        <v>107588</v>
      </c>
      <c r="C4275" t="s">
        <v>9126</v>
      </c>
      <c r="D4275" t="s">
        <v>243</v>
      </c>
      <c r="E4275" t="s">
        <v>9127</v>
      </c>
      <c r="F4275" t="str">
        <f>"00392893"</f>
        <v>00392893</v>
      </c>
      <c r="G4275" t="s">
        <v>92</v>
      </c>
      <c r="H4275" t="s">
        <v>20</v>
      </c>
      <c r="I4275">
        <v>1425</v>
      </c>
      <c r="J4275" t="s">
        <v>21</v>
      </c>
      <c r="K4275">
        <v>0</v>
      </c>
      <c r="L4275" t="s">
        <v>83</v>
      </c>
      <c r="M4275">
        <v>1588</v>
      </c>
    </row>
    <row r="4276" spans="1:13">
      <c r="A4276">
        <v>4270</v>
      </c>
      <c r="B4276">
        <v>50201</v>
      </c>
      <c r="C4276" t="s">
        <v>9128</v>
      </c>
      <c r="D4276" t="s">
        <v>76</v>
      </c>
      <c r="E4276" t="s">
        <v>9129</v>
      </c>
      <c r="F4276" t="str">
        <f>"00305961"</f>
        <v>00305961</v>
      </c>
      <c r="G4276" t="s">
        <v>307</v>
      </c>
      <c r="H4276" t="s">
        <v>308</v>
      </c>
      <c r="I4276">
        <v>1589</v>
      </c>
      <c r="J4276" t="s">
        <v>21</v>
      </c>
      <c r="K4276">
        <v>0</v>
      </c>
      <c r="L4276" t="s">
        <v>59</v>
      </c>
      <c r="M4276">
        <v>1013</v>
      </c>
    </row>
    <row r="4277" spans="1:13">
      <c r="A4277">
        <v>4271</v>
      </c>
      <c r="B4277">
        <v>114450</v>
      </c>
      <c r="C4277" t="s">
        <v>9130</v>
      </c>
      <c r="D4277" t="s">
        <v>76</v>
      </c>
      <c r="E4277" t="s">
        <v>9131</v>
      </c>
      <c r="F4277" t="str">
        <f>"00422791"</f>
        <v>00422791</v>
      </c>
      <c r="G4277" t="s">
        <v>125</v>
      </c>
      <c r="H4277" t="s">
        <v>20</v>
      </c>
      <c r="I4277">
        <v>1507</v>
      </c>
      <c r="J4277" t="s">
        <v>21</v>
      </c>
      <c r="K4277">
        <v>0</v>
      </c>
      <c r="L4277" t="s">
        <v>59</v>
      </c>
      <c r="M4277">
        <v>1128</v>
      </c>
    </row>
    <row r="4278" spans="1:13">
      <c r="A4278">
        <v>4272</v>
      </c>
      <c r="B4278">
        <v>115628</v>
      </c>
      <c r="C4278" t="s">
        <v>9132</v>
      </c>
      <c r="D4278" t="s">
        <v>98</v>
      </c>
      <c r="E4278" t="s">
        <v>9133</v>
      </c>
      <c r="F4278" t="str">
        <f>"00334379"</f>
        <v>00334379</v>
      </c>
      <c r="G4278" t="s">
        <v>358</v>
      </c>
      <c r="H4278" t="s">
        <v>3663</v>
      </c>
      <c r="I4278">
        <v>1367</v>
      </c>
      <c r="J4278" t="s">
        <v>21</v>
      </c>
      <c r="K4278">
        <v>0</v>
      </c>
      <c r="L4278" t="s">
        <v>35</v>
      </c>
      <c r="M4278">
        <v>1100</v>
      </c>
    </row>
    <row r="4279" spans="1:13">
      <c r="A4279">
        <v>4273</v>
      </c>
      <c r="B4279">
        <v>51822</v>
      </c>
      <c r="C4279" t="s">
        <v>9134</v>
      </c>
      <c r="D4279" t="s">
        <v>153</v>
      </c>
      <c r="E4279" t="s">
        <v>9135</v>
      </c>
      <c r="F4279" t="str">
        <f>"201511005328"</f>
        <v>201511005328</v>
      </c>
      <c r="G4279" t="s">
        <v>150</v>
      </c>
      <c r="H4279" t="s">
        <v>151</v>
      </c>
      <c r="I4279">
        <v>1699</v>
      </c>
      <c r="J4279" t="s">
        <v>21</v>
      </c>
      <c r="K4279">
        <v>0</v>
      </c>
      <c r="L4279" t="s">
        <v>88</v>
      </c>
      <c r="M4279">
        <v>475</v>
      </c>
    </row>
    <row r="4280" spans="1:13">
      <c r="A4280">
        <v>4274</v>
      </c>
      <c r="B4280">
        <v>114306</v>
      </c>
      <c r="C4280" t="s">
        <v>9136</v>
      </c>
      <c r="D4280" t="s">
        <v>105</v>
      </c>
      <c r="E4280" t="s">
        <v>9137</v>
      </c>
      <c r="F4280" t="str">
        <f>"00409177"</f>
        <v>00409177</v>
      </c>
      <c r="G4280" t="s">
        <v>1155</v>
      </c>
      <c r="H4280" t="s">
        <v>20</v>
      </c>
      <c r="I4280">
        <v>1480</v>
      </c>
      <c r="J4280" t="s">
        <v>21</v>
      </c>
      <c r="K4280">
        <v>0</v>
      </c>
      <c r="M4280">
        <v>1524</v>
      </c>
    </row>
    <row r="4281" spans="1:13">
      <c r="A4281">
        <v>4275</v>
      </c>
      <c r="B4281">
        <v>88416</v>
      </c>
      <c r="C4281" t="s">
        <v>9138</v>
      </c>
      <c r="D4281" t="s">
        <v>180</v>
      </c>
      <c r="E4281" t="s">
        <v>9139</v>
      </c>
      <c r="F4281" t="str">
        <f>"00405740"</f>
        <v>00405740</v>
      </c>
      <c r="G4281" t="s">
        <v>3237</v>
      </c>
      <c r="H4281" t="s">
        <v>20</v>
      </c>
      <c r="I4281">
        <v>1515</v>
      </c>
      <c r="J4281" t="s">
        <v>21</v>
      </c>
      <c r="K4281">
        <v>6</v>
      </c>
      <c r="M4281">
        <v>1528</v>
      </c>
    </row>
    <row r="4282" spans="1:13">
      <c r="A4282">
        <v>4276</v>
      </c>
      <c r="B4282">
        <v>63468</v>
      </c>
      <c r="C4282" t="s">
        <v>9140</v>
      </c>
      <c r="D4282" t="s">
        <v>267</v>
      </c>
      <c r="E4282" t="s">
        <v>9141</v>
      </c>
      <c r="F4282" t="str">
        <f>"00090340"</f>
        <v>00090340</v>
      </c>
      <c r="G4282" t="s">
        <v>107</v>
      </c>
      <c r="H4282" t="s">
        <v>20</v>
      </c>
      <c r="I4282">
        <v>1472</v>
      </c>
      <c r="J4282" t="s">
        <v>21</v>
      </c>
      <c r="K4282">
        <v>0</v>
      </c>
      <c r="M4282">
        <v>1488</v>
      </c>
    </row>
    <row r="4283" spans="1:13">
      <c r="A4283">
        <v>4277</v>
      </c>
      <c r="B4283">
        <v>71836</v>
      </c>
      <c r="C4283" t="s">
        <v>9142</v>
      </c>
      <c r="D4283" t="s">
        <v>205</v>
      </c>
      <c r="E4283" t="s">
        <v>9143</v>
      </c>
      <c r="F4283" t="str">
        <f>"00358934"</f>
        <v>00358934</v>
      </c>
      <c r="G4283" t="s">
        <v>1345</v>
      </c>
      <c r="H4283" t="s">
        <v>137</v>
      </c>
      <c r="I4283">
        <v>1606</v>
      </c>
      <c r="J4283" t="s">
        <v>21</v>
      </c>
      <c r="K4283">
        <v>0</v>
      </c>
      <c r="L4283" t="s">
        <v>35</v>
      </c>
      <c r="M4283">
        <v>1250</v>
      </c>
    </row>
    <row r="4284" spans="1:13">
      <c r="A4284">
        <v>4278</v>
      </c>
      <c r="B4284">
        <v>114631</v>
      </c>
      <c r="C4284" t="s">
        <v>9144</v>
      </c>
      <c r="D4284" t="s">
        <v>243</v>
      </c>
      <c r="E4284" t="s">
        <v>9145</v>
      </c>
      <c r="F4284" t="str">
        <f>"00403974"</f>
        <v>00403974</v>
      </c>
      <c r="G4284" t="s">
        <v>9146</v>
      </c>
      <c r="H4284" t="s">
        <v>20</v>
      </c>
      <c r="I4284">
        <v>1514</v>
      </c>
      <c r="J4284" t="s">
        <v>21</v>
      </c>
      <c r="K4284">
        <v>6</v>
      </c>
      <c r="M4284">
        <v>1288</v>
      </c>
    </row>
    <row r="4285" spans="1:13">
      <c r="A4285">
        <v>4279</v>
      </c>
      <c r="B4285">
        <v>58466</v>
      </c>
      <c r="C4285" t="s">
        <v>9147</v>
      </c>
      <c r="D4285" t="s">
        <v>243</v>
      </c>
      <c r="E4285" t="s">
        <v>9148</v>
      </c>
      <c r="F4285" t="str">
        <f>"00110371"</f>
        <v>00110371</v>
      </c>
      <c r="G4285" t="s">
        <v>47</v>
      </c>
      <c r="H4285" t="s">
        <v>48</v>
      </c>
      <c r="I4285">
        <v>1623</v>
      </c>
      <c r="J4285" t="s">
        <v>21</v>
      </c>
      <c r="K4285">
        <v>0</v>
      </c>
      <c r="L4285" t="s">
        <v>88</v>
      </c>
      <c r="M4285">
        <v>500</v>
      </c>
    </row>
    <row r="4286" spans="1:13">
      <c r="A4286">
        <v>4280</v>
      </c>
      <c r="B4286">
        <v>66692</v>
      </c>
      <c r="C4286" t="s">
        <v>9149</v>
      </c>
      <c r="D4286" t="s">
        <v>76</v>
      </c>
      <c r="E4286" t="s">
        <v>9150</v>
      </c>
      <c r="F4286" t="str">
        <f>"00407768"</f>
        <v>00407768</v>
      </c>
      <c r="G4286" t="s">
        <v>1595</v>
      </c>
      <c r="H4286" t="s">
        <v>20</v>
      </c>
      <c r="I4286">
        <v>1538</v>
      </c>
      <c r="J4286" t="s">
        <v>21</v>
      </c>
      <c r="K4286">
        <v>6</v>
      </c>
      <c r="L4286" t="s">
        <v>35</v>
      </c>
      <c r="M4286">
        <v>674</v>
      </c>
    </row>
    <row r="4287" spans="1:13">
      <c r="A4287">
        <v>4281</v>
      </c>
      <c r="B4287">
        <v>81330</v>
      </c>
      <c r="C4287" t="s">
        <v>9151</v>
      </c>
      <c r="D4287" t="s">
        <v>914</v>
      </c>
      <c r="E4287" t="s">
        <v>9152</v>
      </c>
      <c r="F4287" t="str">
        <f>"00253706"</f>
        <v>00253706</v>
      </c>
      <c r="G4287" t="s">
        <v>5034</v>
      </c>
      <c r="H4287" t="s">
        <v>20</v>
      </c>
      <c r="I4287">
        <v>1554</v>
      </c>
      <c r="J4287" t="s">
        <v>21</v>
      </c>
      <c r="K4287">
        <v>6</v>
      </c>
      <c r="L4287" t="s">
        <v>35</v>
      </c>
      <c r="M4287">
        <v>608</v>
      </c>
    </row>
    <row r="4288" spans="1:13">
      <c r="A4288">
        <v>4282</v>
      </c>
      <c r="B4288">
        <v>82239</v>
      </c>
      <c r="C4288" t="s">
        <v>9153</v>
      </c>
      <c r="D4288" t="s">
        <v>130</v>
      </c>
      <c r="E4288" t="s">
        <v>9154</v>
      </c>
      <c r="F4288" t="str">
        <f>"00326888"</f>
        <v>00326888</v>
      </c>
      <c r="G4288" t="s">
        <v>3368</v>
      </c>
      <c r="H4288" t="s">
        <v>20</v>
      </c>
      <c r="I4288">
        <v>1452</v>
      </c>
      <c r="J4288" t="s">
        <v>21</v>
      </c>
      <c r="K4288">
        <v>0</v>
      </c>
      <c r="M4288">
        <v>1658</v>
      </c>
    </row>
    <row r="4289" spans="1:13">
      <c r="A4289">
        <v>4283</v>
      </c>
      <c r="B4289">
        <v>54708</v>
      </c>
      <c r="C4289" t="s">
        <v>9155</v>
      </c>
      <c r="D4289" t="s">
        <v>105</v>
      </c>
      <c r="E4289" t="s">
        <v>9156</v>
      </c>
      <c r="F4289" t="str">
        <f>"00305272"</f>
        <v>00305272</v>
      </c>
      <c r="G4289" t="s">
        <v>2835</v>
      </c>
      <c r="H4289" t="s">
        <v>20</v>
      </c>
      <c r="I4289">
        <v>1579</v>
      </c>
      <c r="J4289" t="s">
        <v>21</v>
      </c>
      <c r="K4289">
        <v>6</v>
      </c>
      <c r="M4289">
        <v>1178</v>
      </c>
    </row>
    <row r="4290" spans="1:13">
      <c r="A4290">
        <v>4284</v>
      </c>
      <c r="B4290">
        <v>67959</v>
      </c>
      <c r="C4290" t="s">
        <v>9157</v>
      </c>
      <c r="D4290" t="s">
        <v>105</v>
      </c>
      <c r="E4290" t="s">
        <v>9158</v>
      </c>
      <c r="F4290" t="str">
        <f>"00394524"</f>
        <v>00394524</v>
      </c>
      <c r="G4290" t="s">
        <v>713</v>
      </c>
      <c r="H4290" t="s">
        <v>366</v>
      </c>
      <c r="I4290">
        <v>1690</v>
      </c>
      <c r="J4290" t="s">
        <v>21</v>
      </c>
      <c r="K4290">
        <v>0</v>
      </c>
      <c r="M4290">
        <v>1488</v>
      </c>
    </row>
    <row r="4291" spans="1:13">
      <c r="A4291">
        <v>4285</v>
      </c>
      <c r="B4291">
        <v>54947</v>
      </c>
      <c r="C4291" t="s">
        <v>9159</v>
      </c>
      <c r="D4291" t="s">
        <v>566</v>
      </c>
      <c r="E4291" t="s">
        <v>9160</v>
      </c>
      <c r="F4291" t="str">
        <f>"00232644"</f>
        <v>00232644</v>
      </c>
      <c r="G4291" t="s">
        <v>709</v>
      </c>
      <c r="H4291" t="s">
        <v>20</v>
      </c>
      <c r="I4291">
        <v>1413</v>
      </c>
      <c r="J4291" t="s">
        <v>21</v>
      </c>
      <c r="K4291">
        <v>0</v>
      </c>
      <c r="M4291">
        <v>1398</v>
      </c>
    </row>
    <row r="4292" spans="1:13">
      <c r="A4292">
        <v>4286</v>
      </c>
      <c r="B4292">
        <v>100126</v>
      </c>
      <c r="C4292" t="s">
        <v>9161</v>
      </c>
      <c r="D4292" t="s">
        <v>105</v>
      </c>
      <c r="E4292" t="s">
        <v>9162</v>
      </c>
      <c r="F4292" t="str">
        <f>"00393398"</f>
        <v>00393398</v>
      </c>
      <c r="G4292" t="s">
        <v>600</v>
      </c>
      <c r="H4292" t="s">
        <v>366</v>
      </c>
      <c r="I4292">
        <v>1694</v>
      </c>
      <c r="J4292" t="s">
        <v>21</v>
      </c>
      <c r="K4292">
        <v>0</v>
      </c>
      <c r="L4292" t="s">
        <v>35</v>
      </c>
      <c r="M4292">
        <v>908</v>
      </c>
    </row>
    <row r="4293" spans="1:13">
      <c r="A4293">
        <v>4287</v>
      </c>
      <c r="B4293">
        <v>111564</v>
      </c>
      <c r="C4293" t="s">
        <v>9163</v>
      </c>
      <c r="D4293" t="s">
        <v>260</v>
      </c>
      <c r="E4293" t="s">
        <v>9164</v>
      </c>
      <c r="F4293" t="str">
        <f>"00408772"</f>
        <v>00408772</v>
      </c>
      <c r="G4293" t="s">
        <v>1753</v>
      </c>
      <c r="H4293" t="s">
        <v>20</v>
      </c>
      <c r="I4293">
        <v>1544</v>
      </c>
      <c r="J4293" t="s">
        <v>21</v>
      </c>
      <c r="K4293">
        <v>0</v>
      </c>
      <c r="L4293" t="s">
        <v>35</v>
      </c>
      <c r="M4293">
        <v>1108</v>
      </c>
    </row>
    <row r="4294" spans="1:13">
      <c r="A4294">
        <v>4288</v>
      </c>
      <c r="B4294">
        <v>70438</v>
      </c>
      <c r="C4294" t="s">
        <v>9165</v>
      </c>
      <c r="D4294" t="s">
        <v>209</v>
      </c>
      <c r="E4294" t="s">
        <v>9166</v>
      </c>
      <c r="F4294" t="str">
        <f>"00397359"</f>
        <v>00397359</v>
      </c>
      <c r="G4294" t="s">
        <v>87</v>
      </c>
      <c r="H4294" t="s">
        <v>20</v>
      </c>
      <c r="I4294">
        <v>1436</v>
      </c>
      <c r="J4294" t="s">
        <v>21</v>
      </c>
      <c r="K4294">
        <v>0</v>
      </c>
      <c r="M4294">
        <v>1388</v>
      </c>
    </row>
    <row r="4295" spans="1:13">
      <c r="A4295">
        <v>4289</v>
      </c>
      <c r="B4295">
        <v>116375</v>
      </c>
      <c r="C4295" t="s">
        <v>9167</v>
      </c>
      <c r="D4295" t="s">
        <v>228</v>
      </c>
      <c r="E4295" t="s">
        <v>9168</v>
      </c>
      <c r="F4295" t="str">
        <f>"00417775"</f>
        <v>00417775</v>
      </c>
      <c r="G4295" t="s">
        <v>38</v>
      </c>
      <c r="H4295" t="s">
        <v>39</v>
      </c>
      <c r="I4295">
        <v>1634</v>
      </c>
      <c r="J4295" t="s">
        <v>21</v>
      </c>
      <c r="K4295">
        <v>6</v>
      </c>
      <c r="L4295" t="s">
        <v>35</v>
      </c>
      <c r="M4295">
        <v>658</v>
      </c>
    </row>
    <row r="4296" spans="1:13">
      <c r="A4296">
        <v>4290</v>
      </c>
      <c r="B4296">
        <v>63140</v>
      </c>
      <c r="C4296" t="s">
        <v>9169</v>
      </c>
      <c r="D4296" t="s">
        <v>145</v>
      </c>
      <c r="E4296" t="s">
        <v>9170</v>
      </c>
      <c r="F4296" t="str">
        <f>"00253072"</f>
        <v>00253072</v>
      </c>
      <c r="G4296" t="s">
        <v>47</v>
      </c>
      <c r="H4296" t="s">
        <v>48</v>
      </c>
      <c r="I4296">
        <v>1623</v>
      </c>
      <c r="J4296" t="s">
        <v>21</v>
      </c>
      <c r="K4296">
        <v>0</v>
      </c>
      <c r="L4296" t="s">
        <v>88</v>
      </c>
      <c r="M4296">
        <v>500</v>
      </c>
    </row>
    <row r="4297" spans="1:13">
      <c r="A4297">
        <v>4291</v>
      </c>
      <c r="B4297">
        <v>60580</v>
      </c>
      <c r="C4297" t="s">
        <v>9171</v>
      </c>
      <c r="D4297" t="s">
        <v>153</v>
      </c>
      <c r="E4297" t="s">
        <v>9172</v>
      </c>
      <c r="F4297" t="str">
        <f>"00325704"</f>
        <v>00325704</v>
      </c>
      <c r="G4297" t="s">
        <v>107</v>
      </c>
      <c r="H4297" t="s">
        <v>20</v>
      </c>
      <c r="I4297">
        <v>1472</v>
      </c>
      <c r="J4297" t="s">
        <v>21</v>
      </c>
      <c r="K4297">
        <v>0</v>
      </c>
      <c r="L4297" t="s">
        <v>59</v>
      </c>
      <c r="M4297">
        <v>988</v>
      </c>
    </row>
    <row r="4298" spans="1:13">
      <c r="A4298">
        <v>4292</v>
      </c>
      <c r="B4298">
        <v>112216</v>
      </c>
      <c r="C4298" t="s">
        <v>9173</v>
      </c>
      <c r="D4298" t="s">
        <v>180</v>
      </c>
      <c r="E4298" t="s">
        <v>9174</v>
      </c>
      <c r="F4298" t="str">
        <f>"00417388"</f>
        <v>00417388</v>
      </c>
      <c r="G4298" t="s">
        <v>38</v>
      </c>
      <c r="H4298" t="s">
        <v>39</v>
      </c>
      <c r="I4298">
        <v>1634</v>
      </c>
      <c r="J4298" t="s">
        <v>21</v>
      </c>
      <c r="K4298">
        <v>6</v>
      </c>
      <c r="M4298">
        <v>1228</v>
      </c>
    </row>
    <row r="4299" spans="1:13">
      <c r="A4299">
        <v>4293</v>
      </c>
      <c r="B4299">
        <v>63732</v>
      </c>
      <c r="C4299" t="s">
        <v>9175</v>
      </c>
      <c r="D4299" t="s">
        <v>243</v>
      </c>
      <c r="E4299" t="s">
        <v>9176</v>
      </c>
      <c r="F4299" t="str">
        <f>"201511020831"</f>
        <v>201511020831</v>
      </c>
      <c r="G4299" t="s">
        <v>2443</v>
      </c>
      <c r="H4299" t="s">
        <v>20</v>
      </c>
      <c r="I4299">
        <v>1543</v>
      </c>
      <c r="J4299" t="s">
        <v>21</v>
      </c>
      <c r="K4299">
        <v>6</v>
      </c>
      <c r="L4299" t="s">
        <v>35</v>
      </c>
      <c r="M4299">
        <v>1196</v>
      </c>
    </row>
    <row r="4300" spans="1:13">
      <c r="A4300">
        <v>4294</v>
      </c>
      <c r="B4300">
        <v>55073</v>
      </c>
      <c r="C4300" t="s">
        <v>9177</v>
      </c>
      <c r="D4300" t="s">
        <v>76</v>
      </c>
      <c r="E4300" t="s">
        <v>9178</v>
      </c>
      <c r="F4300" t="str">
        <f>"00361568"</f>
        <v>00361568</v>
      </c>
      <c r="G4300" t="s">
        <v>395</v>
      </c>
      <c r="H4300" t="s">
        <v>234</v>
      </c>
      <c r="I4300">
        <v>1336</v>
      </c>
      <c r="J4300" t="s">
        <v>21</v>
      </c>
      <c r="K4300">
        <v>0</v>
      </c>
      <c r="L4300" t="s">
        <v>35</v>
      </c>
      <c r="M4300">
        <v>1036</v>
      </c>
    </row>
    <row r="4301" spans="1:13">
      <c r="A4301">
        <v>4295</v>
      </c>
      <c r="B4301">
        <v>55228</v>
      </c>
      <c r="C4301" t="s">
        <v>9179</v>
      </c>
      <c r="D4301" t="s">
        <v>76</v>
      </c>
      <c r="E4301" t="s">
        <v>9180</v>
      </c>
      <c r="F4301" t="str">
        <f>"00324705"</f>
        <v>00324705</v>
      </c>
      <c r="G4301" t="s">
        <v>1079</v>
      </c>
      <c r="H4301" t="s">
        <v>20</v>
      </c>
      <c r="I4301">
        <v>1433</v>
      </c>
      <c r="J4301" t="s">
        <v>21</v>
      </c>
      <c r="K4301">
        <v>0</v>
      </c>
      <c r="L4301" t="s">
        <v>35</v>
      </c>
      <c r="M4301">
        <v>1033</v>
      </c>
    </row>
    <row r="4302" spans="1:13">
      <c r="A4302">
        <v>4296</v>
      </c>
      <c r="B4302">
        <v>110906</v>
      </c>
      <c r="C4302" t="s">
        <v>9181</v>
      </c>
      <c r="D4302" t="s">
        <v>3229</v>
      </c>
      <c r="E4302" t="s">
        <v>9182</v>
      </c>
      <c r="F4302" t="str">
        <f>"00422062"</f>
        <v>00422062</v>
      </c>
      <c r="G4302" t="s">
        <v>284</v>
      </c>
      <c r="H4302" t="s">
        <v>270</v>
      </c>
      <c r="I4302">
        <v>1586</v>
      </c>
      <c r="J4302" t="s">
        <v>21</v>
      </c>
      <c r="K4302">
        <v>0</v>
      </c>
      <c r="L4302" t="s">
        <v>35</v>
      </c>
      <c r="M4302">
        <v>908</v>
      </c>
    </row>
    <row r="4303" spans="1:13">
      <c r="A4303">
        <v>4297</v>
      </c>
      <c r="B4303">
        <v>60141</v>
      </c>
      <c r="C4303" t="s">
        <v>9183</v>
      </c>
      <c r="D4303" t="s">
        <v>288</v>
      </c>
      <c r="E4303" t="s">
        <v>9184</v>
      </c>
      <c r="F4303" t="str">
        <f>"00364000"</f>
        <v>00364000</v>
      </c>
      <c r="G4303" t="s">
        <v>371</v>
      </c>
      <c r="H4303" t="s">
        <v>20</v>
      </c>
      <c r="I4303">
        <v>1526</v>
      </c>
      <c r="J4303" t="s">
        <v>21</v>
      </c>
      <c r="K4303">
        <v>6</v>
      </c>
      <c r="M4303">
        <v>988</v>
      </c>
    </row>
    <row r="4304" spans="1:13">
      <c r="A4304">
        <v>4298</v>
      </c>
      <c r="B4304">
        <v>108066</v>
      </c>
      <c r="C4304" t="s">
        <v>9185</v>
      </c>
      <c r="D4304" t="s">
        <v>180</v>
      </c>
      <c r="E4304" t="s">
        <v>9186</v>
      </c>
      <c r="F4304" t="str">
        <f>"00411593"</f>
        <v>00411593</v>
      </c>
      <c r="G4304" t="s">
        <v>230</v>
      </c>
      <c r="H4304" t="s">
        <v>20</v>
      </c>
      <c r="I4304">
        <v>1545</v>
      </c>
      <c r="J4304" t="s">
        <v>21</v>
      </c>
      <c r="K4304">
        <v>0</v>
      </c>
      <c r="L4304" t="s">
        <v>88</v>
      </c>
      <c r="M4304">
        <v>775</v>
      </c>
    </row>
    <row r="4305" spans="1:13">
      <c r="A4305">
        <v>4299</v>
      </c>
      <c r="B4305">
        <v>116032</v>
      </c>
      <c r="C4305" t="s">
        <v>9187</v>
      </c>
      <c r="D4305" t="s">
        <v>80</v>
      </c>
      <c r="E4305" t="s">
        <v>9188</v>
      </c>
      <c r="F4305" t="str">
        <f>"00420283"</f>
        <v>00420283</v>
      </c>
      <c r="G4305" t="s">
        <v>883</v>
      </c>
      <c r="H4305" t="s">
        <v>270</v>
      </c>
      <c r="I4305">
        <v>1585</v>
      </c>
      <c r="J4305" t="s">
        <v>21</v>
      </c>
      <c r="K4305">
        <v>0</v>
      </c>
      <c r="L4305" t="s">
        <v>35</v>
      </c>
      <c r="M4305">
        <v>1070</v>
      </c>
    </row>
    <row r="4306" spans="1:13">
      <c r="A4306">
        <v>4300</v>
      </c>
      <c r="B4306">
        <v>84345</v>
      </c>
      <c r="C4306" t="s">
        <v>9189</v>
      </c>
      <c r="D4306" t="s">
        <v>105</v>
      </c>
      <c r="E4306" t="s">
        <v>9190</v>
      </c>
      <c r="F4306" t="str">
        <f>"00415912"</f>
        <v>00415912</v>
      </c>
      <c r="G4306" t="s">
        <v>38</v>
      </c>
      <c r="H4306" t="s">
        <v>39</v>
      </c>
      <c r="I4306">
        <v>1634</v>
      </c>
      <c r="J4306" t="s">
        <v>21</v>
      </c>
      <c r="K4306">
        <v>0</v>
      </c>
      <c r="L4306" t="s">
        <v>88</v>
      </c>
      <c r="M4306">
        <v>400</v>
      </c>
    </row>
    <row r="4307" spans="1:13">
      <c r="A4307">
        <v>4301</v>
      </c>
      <c r="B4307">
        <v>104185</v>
      </c>
      <c r="C4307" t="s">
        <v>9191</v>
      </c>
      <c r="D4307" t="s">
        <v>90</v>
      </c>
      <c r="E4307" t="s">
        <v>9192</v>
      </c>
      <c r="F4307" t="str">
        <f>"00314280"</f>
        <v>00314280</v>
      </c>
      <c r="G4307" t="s">
        <v>527</v>
      </c>
      <c r="H4307" t="s">
        <v>20</v>
      </c>
      <c r="I4307">
        <v>1568</v>
      </c>
      <c r="J4307" t="s">
        <v>21</v>
      </c>
      <c r="K4307">
        <v>0</v>
      </c>
      <c r="L4307" t="s">
        <v>88</v>
      </c>
      <c r="M4307">
        <v>650</v>
      </c>
    </row>
    <row r="4308" spans="1:13">
      <c r="A4308">
        <v>4302</v>
      </c>
      <c r="B4308">
        <v>50827</v>
      </c>
      <c r="C4308" t="s">
        <v>9193</v>
      </c>
      <c r="D4308" t="s">
        <v>163</v>
      </c>
      <c r="E4308" t="s">
        <v>9194</v>
      </c>
      <c r="F4308" t="str">
        <f>"00373184"</f>
        <v>00373184</v>
      </c>
      <c r="G4308" t="s">
        <v>713</v>
      </c>
      <c r="H4308" t="s">
        <v>366</v>
      </c>
      <c r="I4308">
        <v>1690</v>
      </c>
      <c r="J4308" t="s">
        <v>21</v>
      </c>
      <c r="K4308">
        <v>0</v>
      </c>
      <c r="M4308">
        <v>1728</v>
      </c>
    </row>
    <row r="4309" spans="1:13">
      <c r="A4309">
        <v>4303</v>
      </c>
      <c r="B4309">
        <v>78948</v>
      </c>
      <c r="C4309" t="s">
        <v>9195</v>
      </c>
      <c r="D4309" t="s">
        <v>557</v>
      </c>
      <c r="E4309" t="s">
        <v>9196</v>
      </c>
      <c r="F4309" t="str">
        <f>"00382073"</f>
        <v>00382073</v>
      </c>
      <c r="G4309" t="s">
        <v>2768</v>
      </c>
      <c r="H4309" t="s">
        <v>20</v>
      </c>
      <c r="I4309">
        <v>1409</v>
      </c>
      <c r="J4309" t="s">
        <v>21</v>
      </c>
      <c r="K4309">
        <v>0</v>
      </c>
      <c r="L4309" t="s">
        <v>35</v>
      </c>
      <c r="M4309">
        <v>908</v>
      </c>
    </row>
    <row r="4310" spans="1:13">
      <c r="A4310">
        <v>4304</v>
      </c>
      <c r="B4310">
        <v>66794</v>
      </c>
      <c r="C4310" t="s">
        <v>9197</v>
      </c>
      <c r="D4310" t="s">
        <v>1492</v>
      </c>
      <c r="E4310" t="s">
        <v>9198</v>
      </c>
      <c r="F4310" t="str">
        <f>"00383045"</f>
        <v>00383045</v>
      </c>
      <c r="G4310" t="s">
        <v>107</v>
      </c>
      <c r="H4310" t="s">
        <v>20</v>
      </c>
      <c r="I4310">
        <v>1472</v>
      </c>
      <c r="J4310" t="s">
        <v>21</v>
      </c>
      <c r="K4310">
        <v>0</v>
      </c>
      <c r="M4310">
        <v>1388</v>
      </c>
    </row>
    <row r="4311" spans="1:13">
      <c r="A4311">
        <v>4305</v>
      </c>
      <c r="B4311">
        <v>111350</v>
      </c>
      <c r="C4311" t="s">
        <v>9199</v>
      </c>
      <c r="D4311" t="s">
        <v>8558</v>
      </c>
      <c r="E4311" t="s">
        <v>9200</v>
      </c>
      <c r="F4311" t="str">
        <f>"00416444"</f>
        <v>00416444</v>
      </c>
      <c r="G4311" t="s">
        <v>476</v>
      </c>
      <c r="H4311" t="s">
        <v>20</v>
      </c>
      <c r="I4311">
        <v>1488</v>
      </c>
      <c r="J4311" t="s">
        <v>21</v>
      </c>
      <c r="K4311">
        <v>6</v>
      </c>
      <c r="L4311" t="s">
        <v>35</v>
      </c>
      <c r="M4311">
        <v>1008</v>
      </c>
    </row>
    <row r="4312" spans="1:13">
      <c r="A4312">
        <v>4306</v>
      </c>
      <c r="B4312">
        <v>109285</v>
      </c>
      <c r="C4312" t="s">
        <v>9201</v>
      </c>
      <c r="D4312" t="s">
        <v>9202</v>
      </c>
      <c r="E4312" t="s">
        <v>9203</v>
      </c>
      <c r="F4312" t="str">
        <f>"00234720"</f>
        <v>00234720</v>
      </c>
      <c r="G4312" t="s">
        <v>600</v>
      </c>
      <c r="H4312" t="s">
        <v>234</v>
      </c>
      <c r="I4312">
        <v>1337</v>
      </c>
      <c r="J4312" t="s">
        <v>21</v>
      </c>
      <c r="K4312">
        <v>0</v>
      </c>
      <c r="L4312" t="s">
        <v>59</v>
      </c>
      <c r="M4312">
        <v>1076</v>
      </c>
    </row>
    <row r="4313" spans="1:13">
      <c r="A4313">
        <v>4307</v>
      </c>
      <c r="B4313">
        <v>70334</v>
      </c>
      <c r="C4313" t="s">
        <v>9204</v>
      </c>
      <c r="D4313" t="s">
        <v>153</v>
      </c>
      <c r="E4313" t="s">
        <v>9205</v>
      </c>
      <c r="F4313" t="str">
        <f>"00381843"</f>
        <v>00381843</v>
      </c>
      <c r="G4313" t="s">
        <v>358</v>
      </c>
      <c r="H4313" t="s">
        <v>20</v>
      </c>
      <c r="I4313">
        <v>1549</v>
      </c>
      <c r="J4313" t="s">
        <v>21</v>
      </c>
      <c r="K4313">
        <v>0</v>
      </c>
      <c r="M4313">
        <v>1898</v>
      </c>
    </row>
    <row r="4314" spans="1:13">
      <c r="A4314">
        <v>4308</v>
      </c>
      <c r="B4314">
        <v>81378</v>
      </c>
      <c r="C4314" t="s">
        <v>9206</v>
      </c>
      <c r="D4314" t="s">
        <v>76</v>
      </c>
      <c r="E4314" t="s">
        <v>9207</v>
      </c>
      <c r="F4314" t="str">
        <f>"00384918"</f>
        <v>00384918</v>
      </c>
      <c r="G4314" t="s">
        <v>791</v>
      </c>
      <c r="H4314" t="s">
        <v>20</v>
      </c>
      <c r="I4314">
        <v>1506</v>
      </c>
      <c r="J4314" t="s">
        <v>21</v>
      </c>
      <c r="K4314">
        <v>0</v>
      </c>
      <c r="M4314">
        <v>1388</v>
      </c>
    </row>
    <row r="4315" spans="1:13">
      <c r="A4315">
        <v>4309</v>
      </c>
      <c r="B4315">
        <v>58244</v>
      </c>
      <c r="C4315" t="s">
        <v>9208</v>
      </c>
      <c r="D4315" t="s">
        <v>76</v>
      </c>
      <c r="E4315" t="s">
        <v>9209</v>
      </c>
      <c r="F4315" t="str">
        <f>"00310484"</f>
        <v>00310484</v>
      </c>
      <c r="G4315" t="s">
        <v>47</v>
      </c>
      <c r="H4315" t="s">
        <v>48</v>
      </c>
      <c r="I4315">
        <v>1623</v>
      </c>
      <c r="J4315" t="s">
        <v>21</v>
      </c>
      <c r="K4315">
        <v>0</v>
      </c>
      <c r="L4315" t="s">
        <v>35</v>
      </c>
      <c r="M4315">
        <v>900</v>
      </c>
    </row>
    <row r="4316" spans="1:13">
      <c r="A4316">
        <v>4310</v>
      </c>
      <c r="B4316">
        <v>87868</v>
      </c>
      <c r="C4316" t="s">
        <v>9210</v>
      </c>
      <c r="D4316" t="s">
        <v>102</v>
      </c>
      <c r="E4316" t="s">
        <v>9211</v>
      </c>
      <c r="F4316" t="str">
        <f>"00060795"</f>
        <v>00060795</v>
      </c>
      <c r="G4316" t="s">
        <v>676</v>
      </c>
      <c r="H4316" t="s">
        <v>234</v>
      </c>
      <c r="I4316">
        <v>1338</v>
      </c>
      <c r="J4316" t="s">
        <v>21</v>
      </c>
      <c r="K4316">
        <v>6</v>
      </c>
      <c r="M4316">
        <v>1816</v>
      </c>
    </row>
    <row r="4317" spans="1:13">
      <c r="A4317">
        <v>4311</v>
      </c>
      <c r="B4317">
        <v>81941</v>
      </c>
      <c r="C4317" t="s">
        <v>9212</v>
      </c>
      <c r="D4317" t="s">
        <v>80</v>
      </c>
      <c r="E4317" t="s">
        <v>9213</v>
      </c>
      <c r="F4317" t="str">
        <f>"00394219"</f>
        <v>00394219</v>
      </c>
      <c r="G4317" t="s">
        <v>4415</v>
      </c>
      <c r="H4317" t="s">
        <v>535</v>
      </c>
      <c r="I4317">
        <v>1664</v>
      </c>
      <c r="J4317" t="s">
        <v>21</v>
      </c>
      <c r="K4317">
        <v>0</v>
      </c>
      <c r="M4317">
        <v>1578</v>
      </c>
    </row>
    <row r="4318" spans="1:13">
      <c r="A4318">
        <v>4312</v>
      </c>
      <c r="B4318">
        <v>95338</v>
      </c>
      <c r="C4318" t="s">
        <v>9214</v>
      </c>
      <c r="D4318" t="s">
        <v>105</v>
      </c>
      <c r="E4318" t="s">
        <v>9215</v>
      </c>
      <c r="F4318" t="str">
        <f>"00370002"</f>
        <v>00370002</v>
      </c>
      <c r="G4318" t="s">
        <v>5791</v>
      </c>
      <c r="H4318" t="s">
        <v>20</v>
      </c>
      <c r="I4318">
        <v>1500</v>
      </c>
      <c r="J4318" t="s">
        <v>21</v>
      </c>
      <c r="K4318">
        <v>7</v>
      </c>
      <c r="M4318">
        <v>1428</v>
      </c>
    </row>
    <row r="4319" spans="1:13">
      <c r="A4319">
        <v>4313</v>
      </c>
      <c r="B4319">
        <v>88413</v>
      </c>
      <c r="C4319" t="s">
        <v>9216</v>
      </c>
      <c r="D4319" t="s">
        <v>563</v>
      </c>
      <c r="E4319" t="s">
        <v>9217</v>
      </c>
      <c r="F4319" t="str">
        <f>"00329077"</f>
        <v>00329077</v>
      </c>
      <c r="G4319" t="s">
        <v>107</v>
      </c>
      <c r="H4319" t="s">
        <v>20</v>
      </c>
      <c r="I4319">
        <v>1472</v>
      </c>
      <c r="J4319" t="s">
        <v>21</v>
      </c>
      <c r="K4319">
        <v>0</v>
      </c>
      <c r="L4319" t="s">
        <v>112</v>
      </c>
      <c r="M4319">
        <v>860</v>
      </c>
    </row>
    <row r="4320" spans="1:13">
      <c r="A4320">
        <v>4314</v>
      </c>
      <c r="B4320">
        <v>102642</v>
      </c>
      <c r="C4320" t="s">
        <v>9218</v>
      </c>
      <c r="D4320" t="s">
        <v>180</v>
      </c>
      <c r="E4320" t="s">
        <v>9219</v>
      </c>
      <c r="F4320" t="str">
        <f>"00381039"</f>
        <v>00381039</v>
      </c>
      <c r="G4320" t="s">
        <v>24</v>
      </c>
      <c r="H4320" t="s">
        <v>20</v>
      </c>
      <c r="I4320">
        <v>1577</v>
      </c>
      <c r="J4320" t="s">
        <v>21</v>
      </c>
      <c r="K4320">
        <v>0</v>
      </c>
      <c r="M4320">
        <v>1728</v>
      </c>
    </row>
    <row r="4321" spans="1:13">
      <c r="A4321">
        <v>4315</v>
      </c>
      <c r="B4321">
        <v>57332</v>
      </c>
      <c r="C4321" t="s">
        <v>9220</v>
      </c>
      <c r="D4321" t="s">
        <v>373</v>
      </c>
      <c r="E4321" t="s">
        <v>9221</v>
      </c>
      <c r="F4321" t="str">
        <f>"00328413"</f>
        <v>00328413</v>
      </c>
      <c r="G4321" t="s">
        <v>488</v>
      </c>
      <c r="H4321" t="s">
        <v>20</v>
      </c>
      <c r="I4321">
        <v>1482</v>
      </c>
      <c r="J4321" t="s">
        <v>21</v>
      </c>
      <c r="K4321">
        <v>0</v>
      </c>
      <c r="L4321" t="s">
        <v>35</v>
      </c>
      <c r="M4321">
        <v>1000</v>
      </c>
    </row>
    <row r="4322" spans="1:13">
      <c r="A4322">
        <v>4316</v>
      </c>
      <c r="B4322">
        <v>55822</v>
      </c>
      <c r="C4322" t="s">
        <v>9222</v>
      </c>
      <c r="D4322" t="s">
        <v>243</v>
      </c>
      <c r="E4322" t="s">
        <v>9223</v>
      </c>
      <c r="F4322" t="str">
        <f>"00308810"</f>
        <v>00308810</v>
      </c>
      <c r="G4322" t="s">
        <v>96</v>
      </c>
      <c r="H4322" t="s">
        <v>20</v>
      </c>
      <c r="I4322">
        <v>1474</v>
      </c>
      <c r="J4322" t="s">
        <v>21</v>
      </c>
      <c r="K4322">
        <v>0</v>
      </c>
      <c r="L4322" t="s">
        <v>35</v>
      </c>
      <c r="M4322">
        <v>1175</v>
      </c>
    </row>
    <row r="4323" spans="1:13">
      <c r="A4323">
        <v>4317</v>
      </c>
      <c r="B4323">
        <v>91874</v>
      </c>
      <c r="C4323" t="s">
        <v>9224</v>
      </c>
      <c r="D4323" t="s">
        <v>243</v>
      </c>
      <c r="E4323" t="s">
        <v>9225</v>
      </c>
      <c r="F4323" t="str">
        <f>"00387744"</f>
        <v>00387744</v>
      </c>
      <c r="G4323" t="s">
        <v>107</v>
      </c>
      <c r="H4323" t="s">
        <v>20</v>
      </c>
      <c r="I4323">
        <v>1472</v>
      </c>
      <c r="J4323" t="s">
        <v>21</v>
      </c>
      <c r="K4323">
        <v>0</v>
      </c>
      <c r="M4323">
        <v>1565</v>
      </c>
    </row>
    <row r="4324" spans="1:13">
      <c r="A4324">
        <v>4318</v>
      </c>
      <c r="B4324">
        <v>77488</v>
      </c>
      <c r="C4324" t="s">
        <v>9226</v>
      </c>
      <c r="D4324" t="s">
        <v>105</v>
      </c>
      <c r="E4324" t="s">
        <v>9227</v>
      </c>
      <c r="F4324" t="str">
        <f>"00382112"</f>
        <v>00382112</v>
      </c>
      <c r="G4324" t="s">
        <v>488</v>
      </c>
      <c r="H4324" t="s">
        <v>20</v>
      </c>
      <c r="I4324">
        <v>1482</v>
      </c>
      <c r="J4324" t="s">
        <v>21</v>
      </c>
      <c r="K4324">
        <v>0</v>
      </c>
      <c r="M4324">
        <v>1763</v>
      </c>
    </row>
    <row r="4325" spans="1:13">
      <c r="A4325">
        <v>4319</v>
      </c>
      <c r="B4325">
        <v>89081</v>
      </c>
      <c r="C4325" t="s">
        <v>9228</v>
      </c>
      <c r="D4325" t="s">
        <v>90</v>
      </c>
      <c r="E4325" t="s">
        <v>9229</v>
      </c>
      <c r="F4325" t="str">
        <f>"00387521"</f>
        <v>00387521</v>
      </c>
      <c r="G4325" t="s">
        <v>721</v>
      </c>
      <c r="H4325" t="s">
        <v>20</v>
      </c>
      <c r="I4325">
        <v>1575</v>
      </c>
      <c r="J4325" t="s">
        <v>21</v>
      </c>
      <c r="K4325">
        <v>0</v>
      </c>
      <c r="M4325">
        <v>1528</v>
      </c>
    </row>
    <row r="4326" spans="1:13">
      <c r="A4326">
        <v>4320</v>
      </c>
      <c r="B4326">
        <v>58448</v>
      </c>
      <c r="C4326" t="s">
        <v>9230</v>
      </c>
      <c r="D4326" t="s">
        <v>98</v>
      </c>
      <c r="E4326" t="s">
        <v>9231</v>
      </c>
      <c r="F4326" t="str">
        <f>"00361245"</f>
        <v>00361245</v>
      </c>
      <c r="G4326" t="s">
        <v>531</v>
      </c>
      <c r="H4326" t="s">
        <v>20</v>
      </c>
      <c r="I4326">
        <v>1445</v>
      </c>
      <c r="J4326" t="s">
        <v>21</v>
      </c>
      <c r="K4326">
        <v>0</v>
      </c>
      <c r="M4326">
        <v>1528</v>
      </c>
    </row>
    <row r="4327" spans="1:13">
      <c r="A4327">
        <v>4321</v>
      </c>
      <c r="B4327">
        <v>65622</v>
      </c>
      <c r="C4327" t="s">
        <v>9232</v>
      </c>
      <c r="D4327" t="s">
        <v>2823</v>
      </c>
      <c r="E4327" t="s">
        <v>9233</v>
      </c>
      <c r="F4327" t="str">
        <f>"00272491"</f>
        <v>00272491</v>
      </c>
      <c r="G4327" t="s">
        <v>341</v>
      </c>
      <c r="H4327" t="s">
        <v>20</v>
      </c>
      <c r="I4327">
        <v>1553</v>
      </c>
      <c r="J4327" t="s">
        <v>21</v>
      </c>
      <c r="K4327">
        <v>6</v>
      </c>
      <c r="L4327" t="s">
        <v>35</v>
      </c>
      <c r="M4327">
        <v>850</v>
      </c>
    </row>
    <row r="4328" spans="1:13">
      <c r="A4328">
        <v>4322</v>
      </c>
      <c r="B4328">
        <v>62169</v>
      </c>
      <c r="C4328" t="s">
        <v>9234</v>
      </c>
      <c r="D4328" t="s">
        <v>98</v>
      </c>
      <c r="E4328" t="s">
        <v>9235</v>
      </c>
      <c r="F4328" t="str">
        <f>"00062545"</f>
        <v>00062545</v>
      </c>
      <c r="G4328" t="s">
        <v>38</v>
      </c>
      <c r="H4328" t="s">
        <v>39</v>
      </c>
      <c r="I4328">
        <v>1634</v>
      </c>
      <c r="J4328" t="s">
        <v>21</v>
      </c>
      <c r="K4328">
        <v>6</v>
      </c>
      <c r="L4328" t="s">
        <v>35</v>
      </c>
      <c r="M4328">
        <v>775</v>
      </c>
    </row>
    <row r="4329" spans="1:13">
      <c r="A4329">
        <v>4323</v>
      </c>
      <c r="B4329">
        <v>103732</v>
      </c>
      <c r="C4329" t="s">
        <v>9236</v>
      </c>
      <c r="D4329" t="s">
        <v>238</v>
      </c>
      <c r="E4329" t="s">
        <v>9237</v>
      </c>
      <c r="F4329" t="str">
        <f>"00399179"</f>
        <v>00399179</v>
      </c>
      <c r="G4329" t="s">
        <v>593</v>
      </c>
      <c r="H4329" t="s">
        <v>20</v>
      </c>
      <c r="I4329">
        <v>1444</v>
      </c>
      <c r="J4329" t="s">
        <v>21</v>
      </c>
      <c r="K4329">
        <v>0</v>
      </c>
      <c r="L4329" t="s">
        <v>59</v>
      </c>
      <c r="M4329">
        <v>1388</v>
      </c>
    </row>
    <row r="4330" spans="1:13">
      <c r="A4330">
        <v>4324</v>
      </c>
      <c r="B4330">
        <v>81547</v>
      </c>
      <c r="C4330" t="s">
        <v>9238</v>
      </c>
      <c r="D4330" t="s">
        <v>9239</v>
      </c>
      <c r="E4330" t="s">
        <v>9240</v>
      </c>
      <c r="F4330" t="str">
        <f>"00245492"</f>
        <v>00245492</v>
      </c>
      <c r="G4330" t="s">
        <v>278</v>
      </c>
      <c r="H4330" t="s">
        <v>137</v>
      </c>
      <c r="I4330">
        <v>1605</v>
      </c>
      <c r="J4330" t="s">
        <v>21</v>
      </c>
      <c r="K4330">
        <v>0</v>
      </c>
      <c r="M4330">
        <v>1648</v>
      </c>
    </row>
    <row r="4331" spans="1:13">
      <c r="A4331">
        <v>4325</v>
      </c>
      <c r="B4331">
        <v>62277</v>
      </c>
      <c r="C4331" t="s">
        <v>9241</v>
      </c>
      <c r="D4331" t="s">
        <v>98</v>
      </c>
      <c r="E4331" t="s">
        <v>9242</v>
      </c>
      <c r="F4331" t="str">
        <f>"00024708"</f>
        <v>00024708</v>
      </c>
      <c r="G4331" t="s">
        <v>211</v>
      </c>
      <c r="H4331" t="s">
        <v>48</v>
      </c>
      <c r="I4331">
        <v>1628</v>
      </c>
      <c r="J4331" t="s">
        <v>21</v>
      </c>
      <c r="K4331">
        <v>0</v>
      </c>
      <c r="M4331">
        <v>1378</v>
      </c>
    </row>
    <row r="4332" spans="1:13">
      <c r="A4332">
        <v>4326</v>
      </c>
      <c r="B4332">
        <v>63716</v>
      </c>
      <c r="C4332" t="s">
        <v>9243</v>
      </c>
      <c r="D4332" t="s">
        <v>98</v>
      </c>
      <c r="E4332" t="s">
        <v>9244</v>
      </c>
      <c r="F4332" t="str">
        <f>"00212029"</f>
        <v>00212029</v>
      </c>
      <c r="G4332" t="s">
        <v>733</v>
      </c>
      <c r="H4332" t="s">
        <v>734</v>
      </c>
      <c r="I4332">
        <v>1596</v>
      </c>
      <c r="J4332" t="s">
        <v>21</v>
      </c>
      <c r="K4332">
        <v>0</v>
      </c>
      <c r="L4332" t="s">
        <v>35</v>
      </c>
      <c r="M4332">
        <v>908</v>
      </c>
    </row>
    <row r="4333" spans="1:13">
      <c r="A4333">
        <v>4327</v>
      </c>
      <c r="B4333">
        <v>55561</v>
      </c>
      <c r="C4333" t="s">
        <v>9245</v>
      </c>
      <c r="D4333" t="s">
        <v>243</v>
      </c>
      <c r="E4333" t="s">
        <v>9246</v>
      </c>
      <c r="F4333" t="str">
        <f>"00318128"</f>
        <v>00318128</v>
      </c>
      <c r="G4333" t="s">
        <v>299</v>
      </c>
      <c r="H4333" t="s">
        <v>20</v>
      </c>
      <c r="I4333">
        <v>1490</v>
      </c>
      <c r="J4333" t="s">
        <v>21</v>
      </c>
      <c r="K4333">
        <v>0</v>
      </c>
      <c r="L4333" t="s">
        <v>35</v>
      </c>
      <c r="M4333">
        <v>900</v>
      </c>
    </row>
    <row r="4334" spans="1:13">
      <c r="A4334">
        <v>4328</v>
      </c>
      <c r="B4334">
        <v>104312</v>
      </c>
      <c r="C4334" t="s">
        <v>9247</v>
      </c>
      <c r="D4334" t="s">
        <v>80</v>
      </c>
      <c r="E4334" t="s">
        <v>9248</v>
      </c>
      <c r="F4334" t="str">
        <f>"201405001594"</f>
        <v>201405001594</v>
      </c>
      <c r="G4334" t="s">
        <v>531</v>
      </c>
      <c r="H4334" t="s">
        <v>20</v>
      </c>
      <c r="I4334">
        <v>1445</v>
      </c>
      <c r="J4334" t="s">
        <v>21</v>
      </c>
      <c r="K4334">
        <v>0</v>
      </c>
      <c r="M4334">
        <v>1708</v>
      </c>
    </row>
    <row r="4335" spans="1:13">
      <c r="A4335">
        <v>4329</v>
      </c>
      <c r="B4335">
        <v>75127</v>
      </c>
      <c r="C4335" t="s">
        <v>9249</v>
      </c>
      <c r="D4335" t="s">
        <v>76</v>
      </c>
      <c r="E4335" t="s">
        <v>9250</v>
      </c>
      <c r="F4335" t="str">
        <f>"00382439"</f>
        <v>00382439</v>
      </c>
      <c r="G4335" t="s">
        <v>371</v>
      </c>
      <c r="H4335" t="s">
        <v>20</v>
      </c>
      <c r="I4335">
        <v>1526</v>
      </c>
      <c r="J4335" t="s">
        <v>21</v>
      </c>
      <c r="K4335">
        <v>6</v>
      </c>
      <c r="M4335">
        <v>988</v>
      </c>
    </row>
    <row r="4336" spans="1:13">
      <c r="A4336">
        <v>4330</v>
      </c>
      <c r="B4336">
        <v>101450</v>
      </c>
      <c r="C4336" t="s">
        <v>9251</v>
      </c>
      <c r="D4336" t="s">
        <v>373</v>
      </c>
      <c r="E4336" t="s">
        <v>9252</v>
      </c>
      <c r="F4336" t="str">
        <f>"00377873"</f>
        <v>00377873</v>
      </c>
      <c r="G4336" t="s">
        <v>1504</v>
      </c>
      <c r="H4336" t="s">
        <v>234</v>
      </c>
      <c r="I4336">
        <v>1334</v>
      </c>
      <c r="J4336" t="s">
        <v>21</v>
      </c>
      <c r="K4336">
        <v>6</v>
      </c>
      <c r="M4336">
        <v>1378</v>
      </c>
    </row>
    <row r="4337" spans="1:13">
      <c r="A4337">
        <v>4331</v>
      </c>
      <c r="B4337">
        <v>113280</v>
      </c>
      <c r="C4337" t="s">
        <v>9253</v>
      </c>
      <c r="D4337" t="s">
        <v>80</v>
      </c>
      <c r="E4337" t="s">
        <v>9254</v>
      </c>
      <c r="F4337" t="str">
        <f>"00421779"</f>
        <v>00421779</v>
      </c>
      <c r="G4337" t="s">
        <v>1203</v>
      </c>
      <c r="H4337" t="s">
        <v>20</v>
      </c>
      <c r="I4337">
        <v>1443</v>
      </c>
      <c r="J4337" t="s">
        <v>21</v>
      </c>
      <c r="K4337">
        <v>0</v>
      </c>
      <c r="L4337" t="s">
        <v>35</v>
      </c>
      <c r="M4337">
        <v>1036</v>
      </c>
    </row>
    <row r="4338" spans="1:13">
      <c r="A4338">
        <v>4332</v>
      </c>
      <c r="B4338">
        <v>71266</v>
      </c>
      <c r="C4338" t="s">
        <v>9255</v>
      </c>
      <c r="D4338" t="s">
        <v>76</v>
      </c>
      <c r="E4338" t="s">
        <v>9256</v>
      </c>
      <c r="F4338" t="str">
        <f>"00386642"</f>
        <v>00386642</v>
      </c>
      <c r="G4338" t="s">
        <v>107</v>
      </c>
      <c r="H4338" t="s">
        <v>20</v>
      </c>
      <c r="I4338">
        <v>1472</v>
      </c>
      <c r="J4338" t="s">
        <v>21</v>
      </c>
      <c r="K4338">
        <v>0</v>
      </c>
      <c r="L4338" t="s">
        <v>83</v>
      </c>
      <c r="M4338">
        <v>1367</v>
      </c>
    </row>
    <row r="4339" spans="1:13">
      <c r="A4339">
        <v>4333</v>
      </c>
      <c r="B4339">
        <v>99730</v>
      </c>
      <c r="C4339" t="s">
        <v>9257</v>
      </c>
      <c r="D4339" t="s">
        <v>905</v>
      </c>
      <c r="E4339" t="s">
        <v>9258</v>
      </c>
      <c r="F4339" t="str">
        <f>"00357219"</f>
        <v>00357219</v>
      </c>
      <c r="G4339" t="s">
        <v>760</v>
      </c>
      <c r="H4339" t="s">
        <v>20</v>
      </c>
      <c r="I4339">
        <v>1432</v>
      </c>
      <c r="J4339" t="s">
        <v>21</v>
      </c>
      <c r="K4339">
        <v>0</v>
      </c>
      <c r="L4339" t="s">
        <v>59</v>
      </c>
      <c r="M4339">
        <v>1108</v>
      </c>
    </row>
    <row r="4340" spans="1:13">
      <c r="A4340">
        <v>4334</v>
      </c>
      <c r="B4340">
        <v>66819</v>
      </c>
      <c r="C4340" t="s">
        <v>9259</v>
      </c>
      <c r="D4340" t="s">
        <v>102</v>
      </c>
      <c r="E4340" t="s">
        <v>9260</v>
      </c>
      <c r="F4340" t="str">
        <f>"00255035"</f>
        <v>00255035</v>
      </c>
      <c r="G4340" t="s">
        <v>1695</v>
      </c>
      <c r="H4340" t="s">
        <v>20</v>
      </c>
      <c r="I4340">
        <v>1533</v>
      </c>
      <c r="J4340" t="s">
        <v>21</v>
      </c>
      <c r="K4340">
        <v>0</v>
      </c>
      <c r="M4340">
        <v>1388</v>
      </c>
    </row>
    <row r="4341" spans="1:13">
      <c r="A4341">
        <v>4335</v>
      </c>
      <c r="B4341">
        <v>99221</v>
      </c>
      <c r="C4341" t="s">
        <v>9261</v>
      </c>
      <c r="D4341" t="s">
        <v>321</v>
      </c>
      <c r="E4341" t="s">
        <v>9262</v>
      </c>
      <c r="F4341" t="str">
        <f>"00372200"</f>
        <v>00372200</v>
      </c>
      <c r="G4341" t="s">
        <v>38</v>
      </c>
      <c r="H4341" t="s">
        <v>39</v>
      </c>
      <c r="I4341">
        <v>1634</v>
      </c>
      <c r="J4341" t="s">
        <v>21</v>
      </c>
      <c r="K4341">
        <v>6</v>
      </c>
      <c r="L4341" t="s">
        <v>35</v>
      </c>
      <c r="M4341">
        <v>650</v>
      </c>
    </row>
    <row r="4342" spans="1:13">
      <c r="A4342">
        <v>4336</v>
      </c>
      <c r="B4342">
        <v>74114</v>
      </c>
      <c r="C4342" t="s">
        <v>9263</v>
      </c>
      <c r="D4342" t="s">
        <v>1675</v>
      </c>
      <c r="E4342" t="s">
        <v>9264</v>
      </c>
      <c r="F4342" t="str">
        <f>"00408258"</f>
        <v>00408258</v>
      </c>
      <c r="G4342" t="s">
        <v>38</v>
      </c>
      <c r="H4342" t="s">
        <v>39</v>
      </c>
      <c r="I4342">
        <v>1634</v>
      </c>
      <c r="J4342" t="s">
        <v>21</v>
      </c>
      <c r="K4342">
        <v>6</v>
      </c>
      <c r="M4342">
        <v>1228</v>
      </c>
    </row>
    <row r="4343" spans="1:13">
      <c r="A4343">
        <v>4337</v>
      </c>
      <c r="B4343">
        <v>75700</v>
      </c>
      <c r="C4343" t="s">
        <v>9265</v>
      </c>
      <c r="D4343" t="s">
        <v>98</v>
      </c>
      <c r="E4343" t="s">
        <v>9266</v>
      </c>
      <c r="F4343" t="str">
        <f>"201604001124"</f>
        <v>201604001124</v>
      </c>
      <c r="G4343" t="s">
        <v>737</v>
      </c>
      <c r="H4343" t="s">
        <v>20</v>
      </c>
      <c r="I4343">
        <v>1564</v>
      </c>
      <c r="J4343" t="s">
        <v>21</v>
      </c>
      <c r="K4343">
        <v>6</v>
      </c>
      <c r="L4343" t="s">
        <v>35</v>
      </c>
      <c r="M4343">
        <v>858</v>
      </c>
    </row>
    <row r="4344" spans="1:13">
      <c r="A4344">
        <v>4338</v>
      </c>
      <c r="B4344">
        <v>51501</v>
      </c>
      <c r="C4344" t="s">
        <v>9267</v>
      </c>
      <c r="D4344" t="s">
        <v>180</v>
      </c>
      <c r="E4344" t="s">
        <v>9268</v>
      </c>
      <c r="F4344" t="str">
        <f>"00365974"</f>
        <v>00365974</v>
      </c>
      <c r="G4344" t="s">
        <v>211</v>
      </c>
      <c r="H4344" t="s">
        <v>48</v>
      </c>
      <c r="I4344">
        <v>1628</v>
      </c>
      <c r="J4344" t="s">
        <v>21</v>
      </c>
      <c r="K4344">
        <v>0</v>
      </c>
      <c r="M4344">
        <v>1338</v>
      </c>
    </row>
    <row r="4345" spans="1:13">
      <c r="A4345">
        <v>4339</v>
      </c>
      <c r="B4345">
        <v>68464</v>
      </c>
      <c r="C4345" t="s">
        <v>9269</v>
      </c>
      <c r="D4345" t="s">
        <v>109</v>
      </c>
      <c r="E4345" t="s">
        <v>9270</v>
      </c>
      <c r="F4345" t="str">
        <f>"00398554"</f>
        <v>00398554</v>
      </c>
      <c r="G4345" t="s">
        <v>1747</v>
      </c>
      <c r="H4345" t="s">
        <v>20</v>
      </c>
      <c r="I4345">
        <v>1489</v>
      </c>
      <c r="J4345" t="s">
        <v>21</v>
      </c>
      <c r="K4345">
        <v>6</v>
      </c>
      <c r="M4345">
        <v>1288</v>
      </c>
    </row>
    <row r="4346" spans="1:13">
      <c r="A4346">
        <v>4340</v>
      </c>
      <c r="B4346">
        <v>94161</v>
      </c>
      <c r="C4346" t="s">
        <v>9271</v>
      </c>
      <c r="D4346" t="s">
        <v>76</v>
      </c>
      <c r="E4346" t="s">
        <v>9272</v>
      </c>
      <c r="F4346" t="str">
        <f>"00410262"</f>
        <v>00410262</v>
      </c>
      <c r="G4346" t="s">
        <v>1226</v>
      </c>
      <c r="H4346" t="s">
        <v>137</v>
      </c>
      <c r="I4346">
        <v>1607</v>
      </c>
      <c r="J4346" t="s">
        <v>21</v>
      </c>
      <c r="K4346">
        <v>0</v>
      </c>
      <c r="L4346" t="s">
        <v>35</v>
      </c>
      <c r="M4346">
        <v>1250</v>
      </c>
    </row>
    <row r="4347" spans="1:13">
      <c r="A4347">
        <v>4341</v>
      </c>
      <c r="B4347">
        <v>81835</v>
      </c>
      <c r="C4347" t="s">
        <v>9273</v>
      </c>
      <c r="D4347" t="s">
        <v>811</v>
      </c>
      <c r="E4347" t="s">
        <v>9274</v>
      </c>
      <c r="F4347" t="str">
        <f>"00416702"</f>
        <v>00416702</v>
      </c>
      <c r="G4347" t="s">
        <v>111</v>
      </c>
      <c r="H4347" t="s">
        <v>48</v>
      </c>
      <c r="I4347">
        <v>1620</v>
      </c>
      <c r="J4347" t="s">
        <v>21</v>
      </c>
      <c r="K4347">
        <v>0</v>
      </c>
      <c r="L4347" t="s">
        <v>59</v>
      </c>
      <c r="M4347">
        <v>941</v>
      </c>
    </row>
    <row r="4348" spans="1:13">
      <c r="A4348">
        <v>4342</v>
      </c>
      <c r="B4348">
        <v>110734</v>
      </c>
      <c r="C4348" t="s">
        <v>9275</v>
      </c>
      <c r="D4348" t="s">
        <v>121</v>
      </c>
      <c r="E4348" t="s">
        <v>9276</v>
      </c>
      <c r="F4348" t="str">
        <f>"00422792"</f>
        <v>00422792</v>
      </c>
      <c r="G4348" t="s">
        <v>111</v>
      </c>
      <c r="H4348" t="s">
        <v>48</v>
      </c>
      <c r="I4348">
        <v>1620</v>
      </c>
      <c r="J4348" t="s">
        <v>21</v>
      </c>
      <c r="K4348">
        <v>0</v>
      </c>
      <c r="L4348" t="s">
        <v>35</v>
      </c>
      <c r="M4348">
        <v>1025</v>
      </c>
    </row>
    <row r="4349" spans="1:13">
      <c r="A4349">
        <v>4343</v>
      </c>
      <c r="B4349">
        <v>65960</v>
      </c>
      <c r="C4349" t="s">
        <v>9277</v>
      </c>
      <c r="D4349" t="s">
        <v>163</v>
      </c>
      <c r="E4349" t="s">
        <v>9278</v>
      </c>
      <c r="F4349" t="str">
        <f>"00090049"</f>
        <v>00090049</v>
      </c>
      <c r="G4349" t="s">
        <v>82</v>
      </c>
      <c r="H4349" t="s">
        <v>20</v>
      </c>
      <c r="I4349">
        <v>1475</v>
      </c>
      <c r="J4349" t="s">
        <v>21</v>
      </c>
      <c r="K4349">
        <v>0</v>
      </c>
      <c r="L4349" t="s">
        <v>35</v>
      </c>
      <c r="M4349">
        <v>908</v>
      </c>
    </row>
    <row r="4350" spans="1:13">
      <c r="A4350">
        <v>4344</v>
      </c>
      <c r="B4350">
        <v>87560</v>
      </c>
      <c r="C4350" t="s">
        <v>9279</v>
      </c>
      <c r="D4350" t="s">
        <v>153</v>
      </c>
      <c r="E4350" t="s">
        <v>9280</v>
      </c>
      <c r="F4350" t="str">
        <f>"00394303"</f>
        <v>00394303</v>
      </c>
      <c r="G4350" t="s">
        <v>47</v>
      </c>
      <c r="H4350" t="s">
        <v>48</v>
      </c>
      <c r="I4350">
        <v>1623</v>
      </c>
      <c r="J4350" t="s">
        <v>21</v>
      </c>
      <c r="K4350">
        <v>0</v>
      </c>
      <c r="L4350" t="s">
        <v>35</v>
      </c>
      <c r="M4350">
        <v>922</v>
      </c>
    </row>
    <row r="4351" spans="1:13">
      <c r="A4351">
        <v>4345</v>
      </c>
      <c r="B4351">
        <v>47618</v>
      </c>
      <c r="C4351" t="s">
        <v>9281</v>
      </c>
      <c r="D4351" t="s">
        <v>76</v>
      </c>
      <c r="E4351" t="s">
        <v>9282</v>
      </c>
      <c r="F4351" t="str">
        <f>"00291908"</f>
        <v>00291908</v>
      </c>
      <c r="G4351" t="s">
        <v>4036</v>
      </c>
      <c r="H4351" t="s">
        <v>20</v>
      </c>
      <c r="I4351">
        <v>1442</v>
      </c>
      <c r="J4351" t="s">
        <v>21</v>
      </c>
      <c r="K4351">
        <v>0</v>
      </c>
      <c r="M4351">
        <v>1388</v>
      </c>
    </row>
    <row r="4352" spans="1:13">
      <c r="A4352">
        <v>4346</v>
      </c>
      <c r="B4352">
        <v>75295</v>
      </c>
      <c r="C4352" t="s">
        <v>9283</v>
      </c>
      <c r="D4352" t="s">
        <v>1385</v>
      </c>
      <c r="E4352" t="s">
        <v>9284</v>
      </c>
      <c r="F4352" t="str">
        <f>"00399402"</f>
        <v>00399402</v>
      </c>
      <c r="G4352" t="s">
        <v>1084</v>
      </c>
      <c r="H4352" t="s">
        <v>1085</v>
      </c>
      <c r="I4352">
        <v>1588</v>
      </c>
      <c r="J4352" t="s">
        <v>21</v>
      </c>
      <c r="K4352">
        <v>0</v>
      </c>
      <c r="L4352" t="s">
        <v>35</v>
      </c>
      <c r="M4352">
        <v>895</v>
      </c>
    </row>
    <row r="4353" spans="1:13">
      <c r="A4353">
        <v>4347</v>
      </c>
      <c r="B4353">
        <v>100623</v>
      </c>
      <c r="C4353" t="s">
        <v>9283</v>
      </c>
      <c r="D4353" t="s">
        <v>700</v>
      </c>
      <c r="E4353" t="s">
        <v>9285</v>
      </c>
      <c r="F4353" t="str">
        <f>"00048957"</f>
        <v>00048957</v>
      </c>
      <c r="G4353" t="s">
        <v>737</v>
      </c>
      <c r="H4353" t="s">
        <v>20</v>
      </c>
      <c r="I4353">
        <v>1564</v>
      </c>
      <c r="J4353" t="s">
        <v>21</v>
      </c>
      <c r="K4353">
        <v>6</v>
      </c>
      <c r="M4353">
        <v>1618</v>
      </c>
    </row>
    <row r="4354" spans="1:13">
      <c r="A4354">
        <v>4348</v>
      </c>
      <c r="B4354">
        <v>55549</v>
      </c>
      <c r="C4354" t="s">
        <v>9286</v>
      </c>
      <c r="D4354" t="s">
        <v>80</v>
      </c>
      <c r="E4354" t="s">
        <v>9287</v>
      </c>
      <c r="F4354" t="str">
        <f>"00266771"</f>
        <v>00266771</v>
      </c>
      <c r="G4354" t="s">
        <v>1695</v>
      </c>
      <c r="H4354" t="s">
        <v>20</v>
      </c>
      <c r="I4354">
        <v>1533</v>
      </c>
      <c r="J4354" t="s">
        <v>21</v>
      </c>
      <c r="K4354">
        <v>0</v>
      </c>
      <c r="M4354">
        <v>1323</v>
      </c>
    </row>
    <row r="4355" spans="1:13">
      <c r="A4355">
        <v>4349</v>
      </c>
      <c r="B4355">
        <v>61114</v>
      </c>
      <c r="C4355" t="s">
        <v>9288</v>
      </c>
      <c r="D4355" t="s">
        <v>563</v>
      </c>
      <c r="E4355" t="s">
        <v>9289</v>
      </c>
      <c r="F4355" t="str">
        <f>"201511024641"</f>
        <v>201511024641</v>
      </c>
      <c r="G4355" t="s">
        <v>196</v>
      </c>
      <c r="H4355" t="s">
        <v>20</v>
      </c>
      <c r="I4355">
        <v>1512</v>
      </c>
      <c r="J4355" t="s">
        <v>21</v>
      </c>
      <c r="K4355">
        <v>6</v>
      </c>
      <c r="L4355" t="s">
        <v>88</v>
      </c>
      <c r="M4355">
        <v>550</v>
      </c>
    </row>
    <row r="4356" spans="1:13">
      <c r="A4356">
        <v>4350</v>
      </c>
      <c r="B4356">
        <v>68654</v>
      </c>
      <c r="C4356" t="s">
        <v>9290</v>
      </c>
      <c r="D4356" t="s">
        <v>403</v>
      </c>
      <c r="E4356" t="s">
        <v>9291</v>
      </c>
      <c r="F4356" t="str">
        <f>"00402834"</f>
        <v>00402834</v>
      </c>
      <c r="G4356" t="s">
        <v>240</v>
      </c>
      <c r="H4356" t="s">
        <v>20</v>
      </c>
      <c r="I4356">
        <v>1535</v>
      </c>
      <c r="J4356" t="s">
        <v>21</v>
      </c>
      <c r="K4356">
        <v>6</v>
      </c>
      <c r="L4356" t="s">
        <v>35</v>
      </c>
      <c r="M4356">
        <v>922</v>
      </c>
    </row>
    <row r="4357" spans="1:13">
      <c r="A4357">
        <v>4351</v>
      </c>
      <c r="B4357">
        <v>63127</v>
      </c>
      <c r="C4357" t="s">
        <v>9292</v>
      </c>
      <c r="D4357" t="s">
        <v>76</v>
      </c>
      <c r="E4357" t="s">
        <v>9293</v>
      </c>
      <c r="F4357" t="str">
        <f>"201303000496"</f>
        <v>201303000496</v>
      </c>
      <c r="G4357" t="s">
        <v>125</v>
      </c>
      <c r="H4357" t="s">
        <v>20</v>
      </c>
      <c r="I4357">
        <v>1507</v>
      </c>
      <c r="J4357" t="s">
        <v>21</v>
      </c>
      <c r="K4357">
        <v>0</v>
      </c>
      <c r="M4357">
        <v>1528</v>
      </c>
    </row>
    <row r="4358" spans="1:13">
      <c r="A4358">
        <v>4352</v>
      </c>
      <c r="B4358">
        <v>71983</v>
      </c>
      <c r="C4358" t="s">
        <v>9294</v>
      </c>
      <c r="D4358" t="s">
        <v>80</v>
      </c>
      <c r="E4358" t="s">
        <v>9295</v>
      </c>
      <c r="F4358" t="str">
        <f>"00339277"</f>
        <v>00339277</v>
      </c>
      <c r="G4358" t="s">
        <v>47</v>
      </c>
      <c r="H4358" t="s">
        <v>48</v>
      </c>
      <c r="I4358">
        <v>1623</v>
      </c>
      <c r="J4358" t="s">
        <v>21</v>
      </c>
      <c r="K4358">
        <v>0</v>
      </c>
      <c r="M4358">
        <v>1339</v>
      </c>
    </row>
    <row r="4359" spans="1:13">
      <c r="A4359">
        <v>4353</v>
      </c>
      <c r="B4359">
        <v>83510</v>
      </c>
      <c r="C4359" t="s">
        <v>9296</v>
      </c>
      <c r="D4359" t="s">
        <v>209</v>
      </c>
      <c r="E4359" t="s">
        <v>9297</v>
      </c>
      <c r="F4359" t="str">
        <f>"00271292"</f>
        <v>00271292</v>
      </c>
      <c r="G4359" t="s">
        <v>226</v>
      </c>
      <c r="H4359" t="s">
        <v>20</v>
      </c>
      <c r="I4359">
        <v>1510</v>
      </c>
      <c r="J4359" t="s">
        <v>21</v>
      </c>
      <c r="K4359">
        <v>0</v>
      </c>
      <c r="M4359">
        <v>1519</v>
      </c>
    </row>
    <row r="4360" spans="1:13">
      <c r="A4360">
        <v>4354</v>
      </c>
      <c r="B4360">
        <v>108214</v>
      </c>
      <c r="C4360" t="s">
        <v>9298</v>
      </c>
      <c r="D4360" t="s">
        <v>98</v>
      </c>
      <c r="E4360" t="s">
        <v>9299</v>
      </c>
      <c r="F4360" t="str">
        <f>"200808000534"</f>
        <v>200808000534</v>
      </c>
      <c r="G4360" t="s">
        <v>2440</v>
      </c>
      <c r="H4360" t="s">
        <v>20</v>
      </c>
      <c r="I4360">
        <v>1567</v>
      </c>
      <c r="J4360" t="s">
        <v>21</v>
      </c>
      <c r="K4360">
        <v>0</v>
      </c>
      <c r="L4360" t="s">
        <v>35</v>
      </c>
      <c r="M4360">
        <v>1058</v>
      </c>
    </row>
    <row r="4361" spans="1:13">
      <c r="A4361">
        <v>4355</v>
      </c>
      <c r="B4361">
        <v>77438</v>
      </c>
      <c r="C4361" t="s">
        <v>9300</v>
      </c>
      <c r="D4361" t="s">
        <v>3470</v>
      </c>
      <c r="E4361" t="s">
        <v>9301</v>
      </c>
      <c r="F4361" t="str">
        <f>"00406718"</f>
        <v>00406718</v>
      </c>
      <c r="G4361" t="s">
        <v>955</v>
      </c>
      <c r="H4361" t="s">
        <v>48</v>
      </c>
      <c r="I4361">
        <v>1630</v>
      </c>
      <c r="J4361" t="s">
        <v>21</v>
      </c>
      <c r="K4361">
        <v>0</v>
      </c>
      <c r="L4361" t="s">
        <v>59</v>
      </c>
      <c r="M4361">
        <v>883</v>
      </c>
    </row>
    <row r="4362" spans="1:13">
      <c r="A4362">
        <v>4356</v>
      </c>
      <c r="B4362">
        <v>73137</v>
      </c>
      <c r="C4362" t="s">
        <v>9302</v>
      </c>
      <c r="D4362" t="s">
        <v>130</v>
      </c>
      <c r="E4362" t="s">
        <v>9303</v>
      </c>
      <c r="F4362" t="str">
        <f>"00407379"</f>
        <v>00407379</v>
      </c>
      <c r="G4362" t="s">
        <v>1695</v>
      </c>
      <c r="H4362" t="s">
        <v>20</v>
      </c>
      <c r="I4362">
        <v>1533</v>
      </c>
      <c r="J4362" t="s">
        <v>21</v>
      </c>
      <c r="K4362">
        <v>0</v>
      </c>
      <c r="M4362">
        <v>1328</v>
      </c>
    </row>
    <row r="4363" spans="1:13">
      <c r="A4363">
        <v>4357</v>
      </c>
      <c r="B4363">
        <v>73880</v>
      </c>
      <c r="C4363" t="s">
        <v>9304</v>
      </c>
      <c r="D4363" t="s">
        <v>243</v>
      </c>
      <c r="E4363" t="s">
        <v>9305</v>
      </c>
      <c r="F4363" t="str">
        <f>"201109000029"</f>
        <v>201109000029</v>
      </c>
      <c r="G4363" t="s">
        <v>365</v>
      </c>
      <c r="H4363" t="s">
        <v>366</v>
      </c>
      <c r="I4363">
        <v>1692</v>
      </c>
      <c r="J4363" t="s">
        <v>21</v>
      </c>
      <c r="K4363">
        <v>0</v>
      </c>
      <c r="M4363">
        <v>1368</v>
      </c>
    </row>
    <row r="4364" spans="1:13">
      <c r="A4364">
        <v>4358</v>
      </c>
      <c r="B4364">
        <v>61786</v>
      </c>
      <c r="C4364" t="s">
        <v>9306</v>
      </c>
      <c r="D4364" t="s">
        <v>105</v>
      </c>
      <c r="E4364" t="s">
        <v>9307</v>
      </c>
      <c r="F4364" t="str">
        <f>"00295960"</f>
        <v>00295960</v>
      </c>
      <c r="G4364" t="s">
        <v>1165</v>
      </c>
      <c r="H4364" t="s">
        <v>20</v>
      </c>
      <c r="I4364">
        <v>1422</v>
      </c>
      <c r="J4364" t="s">
        <v>21</v>
      </c>
      <c r="K4364">
        <v>0</v>
      </c>
      <c r="M4364">
        <v>1588</v>
      </c>
    </row>
    <row r="4365" spans="1:13">
      <c r="A4365">
        <v>4359</v>
      </c>
      <c r="B4365">
        <v>66968</v>
      </c>
      <c r="C4365" t="s">
        <v>9308</v>
      </c>
      <c r="D4365" t="s">
        <v>121</v>
      </c>
      <c r="E4365" t="s">
        <v>9309</v>
      </c>
      <c r="F4365" t="str">
        <f>"00383138"</f>
        <v>00383138</v>
      </c>
      <c r="G4365" t="s">
        <v>47</v>
      </c>
      <c r="H4365" t="s">
        <v>48</v>
      </c>
      <c r="I4365">
        <v>1623</v>
      </c>
      <c r="J4365" t="s">
        <v>21</v>
      </c>
      <c r="K4365">
        <v>0</v>
      </c>
      <c r="L4365" t="s">
        <v>35</v>
      </c>
      <c r="M4365">
        <v>983</v>
      </c>
    </row>
    <row r="4366" spans="1:13">
      <c r="A4366">
        <v>4360</v>
      </c>
      <c r="B4366">
        <v>79828</v>
      </c>
      <c r="C4366" t="s">
        <v>9310</v>
      </c>
      <c r="D4366" t="s">
        <v>109</v>
      </c>
      <c r="E4366" t="s">
        <v>9311</v>
      </c>
      <c r="F4366" t="str">
        <f>"201507004305"</f>
        <v>201507004305</v>
      </c>
      <c r="G4366" t="s">
        <v>1595</v>
      </c>
      <c r="H4366" t="s">
        <v>20</v>
      </c>
      <c r="I4366">
        <v>1538</v>
      </c>
      <c r="J4366" t="s">
        <v>21</v>
      </c>
      <c r="K4366">
        <v>6</v>
      </c>
      <c r="L4366" t="s">
        <v>59</v>
      </c>
      <c r="M4366">
        <v>888</v>
      </c>
    </row>
    <row r="4367" spans="1:13">
      <c r="A4367">
        <v>4361</v>
      </c>
      <c r="B4367">
        <v>91169</v>
      </c>
      <c r="C4367" t="s">
        <v>9312</v>
      </c>
      <c r="D4367" t="s">
        <v>76</v>
      </c>
      <c r="E4367" t="s">
        <v>9313</v>
      </c>
      <c r="F4367" t="str">
        <f>"00261798"</f>
        <v>00261798</v>
      </c>
      <c r="G4367" t="s">
        <v>107</v>
      </c>
      <c r="H4367" t="s">
        <v>20</v>
      </c>
      <c r="I4367">
        <v>1472</v>
      </c>
      <c r="J4367" t="s">
        <v>21</v>
      </c>
      <c r="K4367">
        <v>0</v>
      </c>
      <c r="L4367" t="s">
        <v>83</v>
      </c>
      <c r="M4367">
        <v>1228</v>
      </c>
    </row>
    <row r="4368" spans="1:13">
      <c r="A4368">
        <v>4362</v>
      </c>
      <c r="B4368">
        <v>106578</v>
      </c>
      <c r="C4368" t="s">
        <v>9314</v>
      </c>
      <c r="D4368" t="s">
        <v>198</v>
      </c>
      <c r="E4368" t="s">
        <v>9315</v>
      </c>
      <c r="F4368" t="str">
        <f>"00385801"</f>
        <v>00385801</v>
      </c>
      <c r="G4368" t="s">
        <v>111</v>
      </c>
      <c r="H4368" t="s">
        <v>48</v>
      </c>
      <c r="I4368">
        <v>1620</v>
      </c>
      <c r="J4368" t="s">
        <v>21</v>
      </c>
      <c r="K4368">
        <v>0</v>
      </c>
      <c r="M4368">
        <v>1428</v>
      </c>
    </row>
    <row r="4369" spans="1:13">
      <c r="A4369">
        <v>4363</v>
      </c>
      <c r="B4369">
        <v>81294</v>
      </c>
      <c r="C4369" t="s">
        <v>9316</v>
      </c>
      <c r="D4369" t="s">
        <v>76</v>
      </c>
      <c r="E4369" t="s">
        <v>9317</v>
      </c>
      <c r="F4369" t="str">
        <f>"00258171"</f>
        <v>00258171</v>
      </c>
      <c r="G4369" t="s">
        <v>107</v>
      </c>
      <c r="H4369" t="s">
        <v>20</v>
      </c>
      <c r="I4369">
        <v>1472</v>
      </c>
      <c r="J4369" t="s">
        <v>21</v>
      </c>
      <c r="K4369">
        <v>0</v>
      </c>
      <c r="L4369" t="s">
        <v>112</v>
      </c>
      <c r="M4369">
        <v>808</v>
      </c>
    </row>
    <row r="4370" spans="1:13">
      <c r="A4370">
        <v>4364</v>
      </c>
      <c r="B4370">
        <v>100510</v>
      </c>
      <c r="C4370" t="s">
        <v>9318</v>
      </c>
      <c r="D4370" t="s">
        <v>76</v>
      </c>
      <c r="E4370" t="s">
        <v>9319</v>
      </c>
      <c r="F4370" t="str">
        <f>"00375410"</f>
        <v>00375410</v>
      </c>
      <c r="G4370" t="s">
        <v>1695</v>
      </c>
      <c r="H4370" t="s">
        <v>20</v>
      </c>
      <c r="I4370">
        <v>1533</v>
      </c>
      <c r="J4370" t="s">
        <v>21</v>
      </c>
      <c r="K4370">
        <v>0</v>
      </c>
      <c r="L4370" t="s">
        <v>35</v>
      </c>
      <c r="M4370">
        <v>857</v>
      </c>
    </row>
    <row r="4371" spans="1:13">
      <c r="A4371">
        <v>4365</v>
      </c>
      <c r="B4371">
        <v>58121</v>
      </c>
      <c r="C4371" t="s">
        <v>9320</v>
      </c>
      <c r="D4371" t="s">
        <v>121</v>
      </c>
      <c r="E4371" t="s">
        <v>9321</v>
      </c>
      <c r="F4371" t="str">
        <f>"00378158"</f>
        <v>00378158</v>
      </c>
      <c r="G4371" t="s">
        <v>341</v>
      </c>
      <c r="H4371" t="s">
        <v>20</v>
      </c>
      <c r="I4371">
        <v>1553</v>
      </c>
      <c r="J4371" t="s">
        <v>21</v>
      </c>
      <c r="K4371">
        <v>6</v>
      </c>
      <c r="L4371" t="s">
        <v>35</v>
      </c>
      <c r="M4371">
        <v>975</v>
      </c>
    </row>
    <row r="4372" spans="1:13">
      <c r="A4372">
        <v>4366</v>
      </c>
      <c r="B4372">
        <v>50563</v>
      </c>
      <c r="C4372" t="s">
        <v>9322</v>
      </c>
      <c r="D4372" t="s">
        <v>198</v>
      </c>
      <c r="E4372" t="s">
        <v>9323</v>
      </c>
      <c r="F4372" t="str">
        <f>"201511000056"</f>
        <v>201511000056</v>
      </c>
      <c r="G4372" t="s">
        <v>111</v>
      </c>
      <c r="H4372" t="s">
        <v>48</v>
      </c>
      <c r="I4372">
        <v>1620</v>
      </c>
      <c r="J4372" t="s">
        <v>21</v>
      </c>
      <c r="K4372">
        <v>0</v>
      </c>
      <c r="L4372" t="s">
        <v>35</v>
      </c>
      <c r="M4372">
        <v>875</v>
      </c>
    </row>
    <row r="4373" spans="1:13">
      <c r="A4373">
        <v>4367</v>
      </c>
      <c r="B4373">
        <v>59880</v>
      </c>
      <c r="C4373" t="s">
        <v>9324</v>
      </c>
      <c r="D4373" t="s">
        <v>76</v>
      </c>
      <c r="E4373" t="s">
        <v>9325</v>
      </c>
      <c r="F4373" t="str">
        <f>"00174064"</f>
        <v>00174064</v>
      </c>
      <c r="G4373" t="s">
        <v>352</v>
      </c>
      <c r="H4373" t="s">
        <v>20</v>
      </c>
      <c r="I4373">
        <v>1471</v>
      </c>
      <c r="J4373" t="s">
        <v>21</v>
      </c>
      <c r="K4373">
        <v>0</v>
      </c>
      <c r="L4373" t="s">
        <v>59</v>
      </c>
      <c r="M4373">
        <v>888</v>
      </c>
    </row>
    <row r="4374" spans="1:13">
      <c r="A4374">
        <v>4368</v>
      </c>
      <c r="B4374">
        <v>77964</v>
      </c>
      <c r="C4374" t="s">
        <v>9326</v>
      </c>
      <c r="D4374" t="s">
        <v>209</v>
      </c>
      <c r="E4374" t="s">
        <v>9327</v>
      </c>
      <c r="F4374" t="str">
        <f>"201008000139"</f>
        <v>201008000139</v>
      </c>
      <c r="G4374" t="s">
        <v>2048</v>
      </c>
      <c r="H4374" t="s">
        <v>20</v>
      </c>
      <c r="I4374">
        <v>1633</v>
      </c>
      <c r="J4374" t="s">
        <v>21</v>
      </c>
      <c r="K4374">
        <v>6</v>
      </c>
      <c r="M4374">
        <v>1628</v>
      </c>
    </row>
    <row r="4375" spans="1:13">
      <c r="A4375">
        <v>4369</v>
      </c>
      <c r="B4375">
        <v>48349</v>
      </c>
      <c r="C4375" t="s">
        <v>9328</v>
      </c>
      <c r="D4375" t="s">
        <v>205</v>
      </c>
      <c r="E4375" t="s">
        <v>9329</v>
      </c>
      <c r="F4375" t="str">
        <f>"00276437"</f>
        <v>00276437</v>
      </c>
      <c r="G4375" t="s">
        <v>47</v>
      </c>
      <c r="H4375" t="s">
        <v>48</v>
      </c>
      <c r="I4375">
        <v>1623</v>
      </c>
      <c r="J4375" t="s">
        <v>21</v>
      </c>
      <c r="K4375">
        <v>0</v>
      </c>
      <c r="L4375" t="s">
        <v>59</v>
      </c>
      <c r="M4375">
        <v>1053</v>
      </c>
    </row>
    <row r="4376" spans="1:13">
      <c r="A4376">
        <v>4370</v>
      </c>
      <c r="B4376">
        <v>48609</v>
      </c>
      <c r="C4376" t="s">
        <v>9330</v>
      </c>
      <c r="D4376" t="s">
        <v>80</v>
      </c>
      <c r="E4376" t="s">
        <v>9331</v>
      </c>
      <c r="F4376" t="str">
        <f>"00355836"</f>
        <v>00355836</v>
      </c>
      <c r="G4376" t="s">
        <v>211</v>
      </c>
      <c r="H4376" t="s">
        <v>48</v>
      </c>
      <c r="I4376">
        <v>1628</v>
      </c>
      <c r="J4376" t="s">
        <v>21</v>
      </c>
      <c r="K4376">
        <v>0</v>
      </c>
      <c r="L4376" t="s">
        <v>88</v>
      </c>
      <c r="M4376">
        <v>508</v>
      </c>
    </row>
    <row r="4377" spans="1:13">
      <c r="A4377">
        <v>4371</v>
      </c>
      <c r="B4377">
        <v>89788</v>
      </c>
      <c r="C4377" t="s">
        <v>9332</v>
      </c>
      <c r="D4377" t="s">
        <v>153</v>
      </c>
      <c r="E4377" t="s">
        <v>9333</v>
      </c>
      <c r="F4377" t="str">
        <f>"00385505"</f>
        <v>00385505</v>
      </c>
      <c r="G4377" t="s">
        <v>38</v>
      </c>
      <c r="H4377" t="s">
        <v>119</v>
      </c>
      <c r="I4377">
        <v>1674</v>
      </c>
      <c r="J4377" t="s">
        <v>21</v>
      </c>
      <c r="K4377">
        <v>6</v>
      </c>
      <c r="L4377" t="s">
        <v>35</v>
      </c>
      <c r="M4377">
        <v>808</v>
      </c>
    </row>
    <row r="4378" spans="1:13">
      <c r="A4378">
        <v>4372</v>
      </c>
      <c r="B4378">
        <v>88113</v>
      </c>
      <c r="C4378" t="s">
        <v>9334</v>
      </c>
      <c r="D4378" t="s">
        <v>243</v>
      </c>
      <c r="E4378" t="s">
        <v>9335</v>
      </c>
      <c r="F4378" t="str">
        <f>"00382437"</f>
        <v>00382437</v>
      </c>
      <c r="G4378" t="s">
        <v>38</v>
      </c>
      <c r="H4378" t="s">
        <v>39</v>
      </c>
      <c r="I4378">
        <v>1634</v>
      </c>
      <c r="J4378" t="s">
        <v>21</v>
      </c>
      <c r="K4378">
        <v>6</v>
      </c>
      <c r="M4378">
        <v>1251</v>
      </c>
    </row>
    <row r="4379" spans="1:13">
      <c r="A4379">
        <v>4373</v>
      </c>
      <c r="B4379">
        <v>115504</v>
      </c>
      <c r="C4379" t="s">
        <v>9336</v>
      </c>
      <c r="D4379" t="s">
        <v>105</v>
      </c>
      <c r="E4379" t="s">
        <v>9337</v>
      </c>
      <c r="F4379" t="str">
        <f>"00421483"</f>
        <v>00421483</v>
      </c>
      <c r="G4379" t="s">
        <v>19</v>
      </c>
      <c r="H4379" t="s">
        <v>20</v>
      </c>
      <c r="I4379">
        <v>1531</v>
      </c>
      <c r="J4379" t="s">
        <v>21</v>
      </c>
      <c r="K4379">
        <v>0</v>
      </c>
      <c r="L4379" t="s">
        <v>83</v>
      </c>
      <c r="M4379">
        <v>1228</v>
      </c>
    </row>
    <row r="4380" spans="1:13">
      <c r="A4380">
        <v>4374</v>
      </c>
      <c r="B4380">
        <v>114177</v>
      </c>
      <c r="C4380" t="s">
        <v>9338</v>
      </c>
      <c r="D4380" t="s">
        <v>213</v>
      </c>
      <c r="E4380" t="s">
        <v>9339</v>
      </c>
      <c r="F4380" t="str">
        <f>"00366757"</f>
        <v>00366757</v>
      </c>
      <c r="G4380" t="s">
        <v>2710</v>
      </c>
      <c r="H4380" t="s">
        <v>366</v>
      </c>
      <c r="I4380">
        <v>1691</v>
      </c>
      <c r="J4380" t="s">
        <v>21</v>
      </c>
      <c r="K4380">
        <v>0</v>
      </c>
      <c r="M4380">
        <v>1363</v>
      </c>
    </row>
    <row r="4381" spans="1:13">
      <c r="A4381">
        <v>4375</v>
      </c>
      <c r="B4381">
        <v>114949</v>
      </c>
      <c r="C4381" t="s">
        <v>9340</v>
      </c>
      <c r="D4381" t="s">
        <v>139</v>
      </c>
      <c r="E4381" t="s">
        <v>9341</v>
      </c>
      <c r="F4381" t="str">
        <f>"00418414"</f>
        <v>00418414</v>
      </c>
      <c r="G4381" t="s">
        <v>87</v>
      </c>
      <c r="H4381" t="s">
        <v>20</v>
      </c>
      <c r="I4381">
        <v>1436</v>
      </c>
      <c r="J4381" t="s">
        <v>21</v>
      </c>
      <c r="K4381">
        <v>0</v>
      </c>
      <c r="M4381">
        <v>1328</v>
      </c>
    </row>
    <row r="4382" spans="1:13">
      <c r="A4382">
        <v>4376</v>
      </c>
      <c r="B4382">
        <v>100649</v>
      </c>
      <c r="C4382" t="s">
        <v>9342</v>
      </c>
      <c r="D4382" t="s">
        <v>105</v>
      </c>
      <c r="E4382" t="s">
        <v>9343</v>
      </c>
      <c r="F4382" t="str">
        <f>"00384013"</f>
        <v>00384013</v>
      </c>
      <c r="G4382" t="s">
        <v>47</v>
      </c>
      <c r="H4382" t="s">
        <v>48</v>
      </c>
      <c r="I4382">
        <v>1623</v>
      </c>
      <c r="J4382" t="s">
        <v>21</v>
      </c>
      <c r="K4382">
        <v>0</v>
      </c>
      <c r="M4382">
        <v>1328</v>
      </c>
    </row>
    <row r="4383" spans="1:13">
      <c r="A4383">
        <v>4377</v>
      </c>
      <c r="B4383">
        <v>67458</v>
      </c>
      <c r="C4383" t="s">
        <v>9344</v>
      </c>
      <c r="D4383" t="s">
        <v>121</v>
      </c>
      <c r="E4383" t="s">
        <v>9345</v>
      </c>
      <c r="F4383" t="str">
        <f>"00231278"</f>
        <v>00231278</v>
      </c>
      <c r="G4383" t="s">
        <v>111</v>
      </c>
      <c r="H4383" t="s">
        <v>48</v>
      </c>
      <c r="I4383">
        <v>1620</v>
      </c>
      <c r="J4383" t="s">
        <v>21</v>
      </c>
      <c r="K4383">
        <v>0</v>
      </c>
      <c r="M4383">
        <v>1418</v>
      </c>
    </row>
    <row r="4384" spans="1:13">
      <c r="A4384">
        <v>4378</v>
      </c>
      <c r="B4384">
        <v>52318</v>
      </c>
      <c r="C4384" t="s">
        <v>9346</v>
      </c>
      <c r="D4384" t="s">
        <v>243</v>
      </c>
      <c r="E4384" t="s">
        <v>9347</v>
      </c>
      <c r="F4384" t="str">
        <f>"00357372"</f>
        <v>00357372</v>
      </c>
      <c r="G4384" t="s">
        <v>107</v>
      </c>
      <c r="H4384" t="s">
        <v>20</v>
      </c>
      <c r="I4384">
        <v>1472</v>
      </c>
      <c r="J4384" t="s">
        <v>21</v>
      </c>
      <c r="K4384">
        <v>0</v>
      </c>
      <c r="L4384" t="s">
        <v>35</v>
      </c>
      <c r="M4384">
        <v>908</v>
      </c>
    </row>
    <row r="4385" spans="1:13">
      <c r="A4385">
        <v>4379</v>
      </c>
      <c r="B4385">
        <v>104498</v>
      </c>
      <c r="C4385" t="s">
        <v>9348</v>
      </c>
      <c r="D4385" t="s">
        <v>180</v>
      </c>
      <c r="E4385" t="s">
        <v>9349</v>
      </c>
      <c r="F4385" t="str">
        <f>"00230259"</f>
        <v>00230259</v>
      </c>
      <c r="G4385" t="s">
        <v>107</v>
      </c>
      <c r="H4385" t="s">
        <v>20</v>
      </c>
      <c r="I4385">
        <v>1472</v>
      </c>
      <c r="J4385" t="s">
        <v>21</v>
      </c>
      <c r="K4385">
        <v>0</v>
      </c>
      <c r="L4385" t="s">
        <v>35</v>
      </c>
      <c r="M4385">
        <v>950</v>
      </c>
    </row>
    <row r="4386" spans="1:13">
      <c r="A4386">
        <v>4380</v>
      </c>
      <c r="B4386">
        <v>114099</v>
      </c>
      <c r="C4386" t="s">
        <v>9350</v>
      </c>
      <c r="D4386" t="s">
        <v>90</v>
      </c>
      <c r="E4386" t="s">
        <v>9351</v>
      </c>
      <c r="F4386" t="str">
        <f>"00274813"</f>
        <v>00274813</v>
      </c>
      <c r="G4386" t="s">
        <v>125</v>
      </c>
      <c r="H4386" t="s">
        <v>20</v>
      </c>
      <c r="I4386">
        <v>1507</v>
      </c>
      <c r="J4386" t="s">
        <v>21</v>
      </c>
      <c r="K4386">
        <v>0</v>
      </c>
      <c r="L4386" t="s">
        <v>35</v>
      </c>
      <c r="M4386">
        <v>953</v>
      </c>
    </row>
    <row r="4387" spans="1:13">
      <c r="A4387">
        <v>4381</v>
      </c>
      <c r="B4387">
        <v>68611</v>
      </c>
      <c r="C4387" t="s">
        <v>9352</v>
      </c>
      <c r="D4387" t="s">
        <v>90</v>
      </c>
      <c r="E4387" t="s">
        <v>9353</v>
      </c>
      <c r="F4387" t="str">
        <f>"00395948"</f>
        <v>00395948</v>
      </c>
      <c r="G4387" t="s">
        <v>230</v>
      </c>
      <c r="H4387" t="s">
        <v>20</v>
      </c>
      <c r="I4387">
        <v>1545</v>
      </c>
      <c r="J4387" t="s">
        <v>21</v>
      </c>
      <c r="K4387">
        <v>0</v>
      </c>
      <c r="M4387">
        <v>1551</v>
      </c>
    </row>
    <row r="4388" spans="1:13">
      <c r="A4388">
        <v>4382</v>
      </c>
      <c r="B4388">
        <v>71452</v>
      </c>
      <c r="C4388" t="s">
        <v>9354</v>
      </c>
      <c r="D4388" t="s">
        <v>121</v>
      </c>
      <c r="E4388" t="s">
        <v>9355</v>
      </c>
      <c r="F4388" t="str">
        <f>"00393133"</f>
        <v>00393133</v>
      </c>
      <c r="G4388" t="s">
        <v>111</v>
      </c>
      <c r="H4388" t="s">
        <v>48</v>
      </c>
      <c r="I4388">
        <v>1620</v>
      </c>
      <c r="J4388" t="s">
        <v>21</v>
      </c>
      <c r="K4388">
        <v>0</v>
      </c>
      <c r="L4388" t="s">
        <v>35</v>
      </c>
      <c r="M4388">
        <v>908</v>
      </c>
    </row>
    <row r="4389" spans="1:13">
      <c r="A4389">
        <v>4383</v>
      </c>
      <c r="B4389">
        <v>51529</v>
      </c>
      <c r="C4389" t="s">
        <v>9356</v>
      </c>
      <c r="D4389" t="s">
        <v>130</v>
      </c>
      <c r="E4389" t="s">
        <v>9357</v>
      </c>
      <c r="F4389" t="str">
        <f>"00190247"</f>
        <v>00190247</v>
      </c>
      <c r="G4389" t="s">
        <v>9358</v>
      </c>
      <c r="H4389" t="s">
        <v>9359</v>
      </c>
      <c r="I4389">
        <v>1318</v>
      </c>
      <c r="J4389" t="s">
        <v>21</v>
      </c>
      <c r="K4389">
        <v>0</v>
      </c>
      <c r="M4389">
        <v>1488</v>
      </c>
    </row>
    <row r="4390" spans="1:13">
      <c r="A4390">
        <v>4384</v>
      </c>
      <c r="B4390">
        <v>97042</v>
      </c>
      <c r="C4390" t="s">
        <v>9360</v>
      </c>
      <c r="D4390" t="s">
        <v>80</v>
      </c>
      <c r="E4390" t="s">
        <v>9361</v>
      </c>
      <c r="F4390" t="str">
        <f>"00387540"</f>
        <v>00387540</v>
      </c>
      <c r="G4390" t="s">
        <v>107</v>
      </c>
      <c r="H4390" t="s">
        <v>20</v>
      </c>
      <c r="I4390">
        <v>1472</v>
      </c>
      <c r="J4390" t="s">
        <v>21</v>
      </c>
      <c r="K4390">
        <v>0</v>
      </c>
      <c r="L4390" t="s">
        <v>35</v>
      </c>
      <c r="M4390">
        <v>922</v>
      </c>
    </row>
    <row r="4391" spans="1:13">
      <c r="A4391">
        <v>4385</v>
      </c>
      <c r="B4391">
        <v>65916</v>
      </c>
      <c r="C4391" t="s">
        <v>9362</v>
      </c>
      <c r="D4391" t="s">
        <v>334</v>
      </c>
      <c r="E4391" t="s">
        <v>9363</v>
      </c>
      <c r="F4391" t="str">
        <f>"00354308"</f>
        <v>00354308</v>
      </c>
      <c r="G4391" t="s">
        <v>994</v>
      </c>
      <c r="H4391" t="s">
        <v>20</v>
      </c>
      <c r="I4391">
        <v>1522</v>
      </c>
      <c r="J4391" t="s">
        <v>21</v>
      </c>
      <c r="K4391">
        <v>0</v>
      </c>
      <c r="M4391">
        <v>1338</v>
      </c>
    </row>
    <row r="4392" spans="1:13">
      <c r="A4392">
        <v>4386</v>
      </c>
      <c r="B4392">
        <v>111488</v>
      </c>
      <c r="C4392" t="s">
        <v>9364</v>
      </c>
      <c r="D4392" t="s">
        <v>243</v>
      </c>
      <c r="E4392" t="s">
        <v>9365</v>
      </c>
      <c r="F4392" t="str">
        <f>"00409176"</f>
        <v>00409176</v>
      </c>
      <c r="G4392" t="s">
        <v>713</v>
      </c>
      <c r="H4392" t="s">
        <v>366</v>
      </c>
      <c r="I4392">
        <v>1690</v>
      </c>
      <c r="J4392" t="s">
        <v>21</v>
      </c>
      <c r="K4392">
        <v>0</v>
      </c>
      <c r="L4392" t="s">
        <v>35</v>
      </c>
      <c r="M4392">
        <v>1008</v>
      </c>
    </row>
    <row r="4393" spans="1:13">
      <c r="A4393">
        <v>4387</v>
      </c>
      <c r="B4393">
        <v>113517</v>
      </c>
      <c r="C4393" t="s">
        <v>9366</v>
      </c>
      <c r="D4393" t="s">
        <v>153</v>
      </c>
      <c r="E4393" t="s">
        <v>9367</v>
      </c>
      <c r="F4393" t="str">
        <f>"00419287"</f>
        <v>00419287</v>
      </c>
      <c r="G4393" t="s">
        <v>713</v>
      </c>
      <c r="H4393" t="s">
        <v>366</v>
      </c>
      <c r="I4393">
        <v>1690</v>
      </c>
      <c r="J4393" t="s">
        <v>21</v>
      </c>
      <c r="K4393">
        <v>0</v>
      </c>
      <c r="L4393" t="s">
        <v>83</v>
      </c>
      <c r="M4393">
        <v>1468</v>
      </c>
    </row>
    <row r="4394" spans="1:13">
      <c r="A4394">
        <v>4388</v>
      </c>
      <c r="B4394">
        <v>66626</v>
      </c>
      <c r="C4394" t="s">
        <v>9368</v>
      </c>
      <c r="D4394" t="s">
        <v>90</v>
      </c>
      <c r="E4394" t="s">
        <v>9369</v>
      </c>
      <c r="F4394" t="str">
        <f>"00386724"</f>
        <v>00386724</v>
      </c>
      <c r="G4394" t="s">
        <v>52</v>
      </c>
      <c r="H4394" t="s">
        <v>20</v>
      </c>
      <c r="I4394">
        <v>1503</v>
      </c>
      <c r="J4394" t="s">
        <v>21</v>
      </c>
      <c r="K4394">
        <v>0</v>
      </c>
      <c r="M4394">
        <v>1688</v>
      </c>
    </row>
    <row r="4395" spans="1:13">
      <c r="A4395">
        <v>4389</v>
      </c>
      <c r="B4395">
        <v>94723</v>
      </c>
      <c r="C4395" t="s">
        <v>9370</v>
      </c>
      <c r="D4395" t="s">
        <v>85</v>
      </c>
      <c r="E4395" t="s">
        <v>9371</v>
      </c>
      <c r="F4395" t="str">
        <f>"00402379"</f>
        <v>00402379</v>
      </c>
      <c r="G4395" t="s">
        <v>3368</v>
      </c>
      <c r="H4395" t="s">
        <v>20</v>
      </c>
      <c r="I4395">
        <v>1452</v>
      </c>
      <c r="J4395" t="s">
        <v>21</v>
      </c>
      <c r="K4395">
        <v>0</v>
      </c>
      <c r="M4395">
        <v>1428</v>
      </c>
    </row>
    <row r="4396" spans="1:13">
      <c r="A4396">
        <v>4390</v>
      </c>
      <c r="B4396">
        <v>80507</v>
      </c>
      <c r="C4396" t="s">
        <v>9372</v>
      </c>
      <c r="D4396" t="s">
        <v>209</v>
      </c>
      <c r="E4396" t="s">
        <v>9373</v>
      </c>
      <c r="F4396" t="str">
        <f>"00146410"</f>
        <v>00146410</v>
      </c>
      <c r="G4396" t="s">
        <v>125</v>
      </c>
      <c r="H4396" t="s">
        <v>20</v>
      </c>
      <c r="I4396">
        <v>1507</v>
      </c>
      <c r="J4396" t="s">
        <v>21</v>
      </c>
      <c r="K4396">
        <v>0</v>
      </c>
      <c r="L4396" t="s">
        <v>112</v>
      </c>
      <c r="M4396">
        <v>900</v>
      </c>
    </row>
    <row r="4397" spans="1:13">
      <c r="A4397">
        <v>4391</v>
      </c>
      <c r="B4397">
        <v>68114</v>
      </c>
      <c r="C4397" t="s">
        <v>9374</v>
      </c>
      <c r="D4397" t="s">
        <v>198</v>
      </c>
      <c r="E4397" t="s">
        <v>9375</v>
      </c>
      <c r="F4397" t="str">
        <f>"00375388"</f>
        <v>00375388</v>
      </c>
      <c r="G4397" t="s">
        <v>2072</v>
      </c>
      <c r="H4397" t="s">
        <v>20</v>
      </c>
      <c r="I4397">
        <v>1459</v>
      </c>
      <c r="J4397" t="s">
        <v>21</v>
      </c>
      <c r="K4397">
        <v>0</v>
      </c>
      <c r="M4397">
        <v>1688</v>
      </c>
    </row>
    <row r="4398" spans="1:13">
      <c r="A4398">
        <v>4392</v>
      </c>
      <c r="B4398">
        <v>74494</v>
      </c>
      <c r="C4398" t="s">
        <v>9376</v>
      </c>
      <c r="D4398" t="s">
        <v>105</v>
      </c>
      <c r="E4398" t="s">
        <v>9377</v>
      </c>
      <c r="F4398" t="str">
        <f>"201511015698"</f>
        <v>201511015698</v>
      </c>
      <c r="G4398" t="s">
        <v>92</v>
      </c>
      <c r="H4398" t="s">
        <v>20</v>
      </c>
      <c r="I4398">
        <v>1425</v>
      </c>
      <c r="J4398" t="s">
        <v>21</v>
      </c>
      <c r="K4398">
        <v>0</v>
      </c>
      <c r="M4398">
        <v>1688</v>
      </c>
    </row>
    <row r="4399" spans="1:13">
      <c r="A4399">
        <v>4393</v>
      </c>
      <c r="B4399">
        <v>47610</v>
      </c>
      <c r="C4399" t="s">
        <v>9378</v>
      </c>
      <c r="D4399" t="s">
        <v>98</v>
      </c>
      <c r="E4399" t="s">
        <v>9379</v>
      </c>
      <c r="F4399" t="str">
        <f>"00020225"</f>
        <v>00020225</v>
      </c>
      <c r="G4399" t="s">
        <v>47</v>
      </c>
      <c r="H4399" t="s">
        <v>48</v>
      </c>
      <c r="I4399">
        <v>1623</v>
      </c>
      <c r="J4399" t="s">
        <v>21</v>
      </c>
      <c r="K4399">
        <v>0</v>
      </c>
      <c r="M4399">
        <v>1328</v>
      </c>
    </row>
    <row r="4400" spans="1:13">
      <c r="A4400">
        <v>4394</v>
      </c>
      <c r="B4400">
        <v>74153</v>
      </c>
      <c r="C4400" t="s">
        <v>9380</v>
      </c>
      <c r="D4400" t="s">
        <v>163</v>
      </c>
      <c r="E4400" t="s">
        <v>9381</v>
      </c>
      <c r="F4400" t="str">
        <f>"00403716"</f>
        <v>00403716</v>
      </c>
      <c r="G4400" t="s">
        <v>1764</v>
      </c>
      <c r="H4400" t="s">
        <v>20</v>
      </c>
      <c r="I4400">
        <v>1532</v>
      </c>
      <c r="J4400" t="s">
        <v>21</v>
      </c>
      <c r="K4400">
        <v>0</v>
      </c>
      <c r="L4400" t="s">
        <v>35</v>
      </c>
      <c r="M4400">
        <v>1076</v>
      </c>
    </row>
    <row r="4401" spans="1:13">
      <c r="A4401">
        <v>4395</v>
      </c>
      <c r="B4401">
        <v>95125</v>
      </c>
      <c r="C4401" t="s">
        <v>9382</v>
      </c>
      <c r="D4401" t="s">
        <v>566</v>
      </c>
      <c r="E4401" t="s">
        <v>9383</v>
      </c>
      <c r="F4401" t="str">
        <f>"00353766"</f>
        <v>00353766</v>
      </c>
      <c r="G4401" t="s">
        <v>173</v>
      </c>
      <c r="H4401" t="s">
        <v>20</v>
      </c>
      <c r="I4401">
        <v>1420</v>
      </c>
      <c r="J4401" t="s">
        <v>21</v>
      </c>
      <c r="K4401">
        <v>7</v>
      </c>
      <c r="L4401" t="s">
        <v>35</v>
      </c>
      <c r="M4401">
        <v>1000</v>
      </c>
    </row>
    <row r="4402" spans="1:13">
      <c r="A4402">
        <v>4396</v>
      </c>
      <c r="B4402">
        <v>76082</v>
      </c>
      <c r="C4402" t="s">
        <v>9384</v>
      </c>
      <c r="D4402" t="s">
        <v>121</v>
      </c>
      <c r="E4402" t="s">
        <v>9385</v>
      </c>
      <c r="F4402" t="str">
        <f>"00330470"</f>
        <v>00330470</v>
      </c>
      <c r="G4402" t="s">
        <v>600</v>
      </c>
      <c r="H4402" t="s">
        <v>366</v>
      </c>
      <c r="I4402">
        <v>1694</v>
      </c>
      <c r="J4402" t="s">
        <v>21</v>
      </c>
      <c r="K4402">
        <v>0</v>
      </c>
      <c r="M4402">
        <v>1398</v>
      </c>
    </row>
    <row r="4403" spans="1:13">
      <c r="A4403">
        <v>4397</v>
      </c>
      <c r="B4403">
        <v>46762</v>
      </c>
      <c r="C4403" t="s">
        <v>9386</v>
      </c>
      <c r="D4403" t="s">
        <v>209</v>
      </c>
      <c r="E4403" t="s">
        <v>9387</v>
      </c>
      <c r="F4403" t="str">
        <f>"00305054"</f>
        <v>00305054</v>
      </c>
      <c r="G4403" t="s">
        <v>2284</v>
      </c>
      <c r="H4403" t="s">
        <v>20</v>
      </c>
      <c r="I4403">
        <v>1465</v>
      </c>
      <c r="J4403" t="s">
        <v>21</v>
      </c>
      <c r="K4403">
        <v>0</v>
      </c>
      <c r="L4403" t="s">
        <v>35</v>
      </c>
      <c r="M4403">
        <v>1060</v>
      </c>
    </row>
    <row r="4404" spans="1:13">
      <c r="A4404">
        <v>4398</v>
      </c>
      <c r="B4404">
        <v>81390</v>
      </c>
      <c r="C4404" t="s">
        <v>9388</v>
      </c>
      <c r="D4404" t="s">
        <v>76</v>
      </c>
      <c r="E4404" t="s">
        <v>9389</v>
      </c>
      <c r="F4404" t="str">
        <f>"00005724"</f>
        <v>00005724</v>
      </c>
      <c r="G4404" t="s">
        <v>713</v>
      </c>
      <c r="H4404" t="s">
        <v>366</v>
      </c>
      <c r="I4404">
        <v>1690</v>
      </c>
      <c r="J4404" t="s">
        <v>21</v>
      </c>
      <c r="K4404">
        <v>0</v>
      </c>
      <c r="M4404">
        <v>1555</v>
      </c>
    </row>
    <row r="4405" spans="1:13">
      <c r="A4405">
        <v>4399</v>
      </c>
      <c r="B4405">
        <v>99474</v>
      </c>
      <c r="C4405" t="s">
        <v>9390</v>
      </c>
      <c r="D4405" t="s">
        <v>102</v>
      </c>
      <c r="E4405" t="s">
        <v>9391</v>
      </c>
      <c r="F4405" t="str">
        <f>"00377424"</f>
        <v>00377424</v>
      </c>
      <c r="G4405" t="s">
        <v>994</v>
      </c>
      <c r="H4405" t="s">
        <v>20</v>
      </c>
      <c r="I4405">
        <v>1522</v>
      </c>
      <c r="J4405" t="s">
        <v>21</v>
      </c>
      <c r="K4405">
        <v>0</v>
      </c>
      <c r="M4405">
        <v>1428</v>
      </c>
    </row>
    <row r="4406" spans="1:13">
      <c r="A4406">
        <v>4400</v>
      </c>
      <c r="B4406">
        <v>52059</v>
      </c>
      <c r="C4406" t="s">
        <v>9392</v>
      </c>
      <c r="D4406" t="s">
        <v>80</v>
      </c>
      <c r="E4406" t="s">
        <v>9393</v>
      </c>
      <c r="F4406" t="str">
        <f>"00277519"</f>
        <v>00277519</v>
      </c>
      <c r="G4406" t="s">
        <v>540</v>
      </c>
      <c r="H4406" t="s">
        <v>20</v>
      </c>
      <c r="I4406">
        <v>1435</v>
      </c>
      <c r="J4406" t="s">
        <v>21</v>
      </c>
      <c r="K4406">
        <v>0</v>
      </c>
      <c r="M4406">
        <v>1428</v>
      </c>
    </row>
    <row r="4407" spans="1:13">
      <c r="A4407">
        <v>4401</v>
      </c>
      <c r="B4407">
        <v>50054</v>
      </c>
      <c r="C4407" t="s">
        <v>9394</v>
      </c>
      <c r="D4407" t="s">
        <v>2350</v>
      </c>
      <c r="E4407" t="s">
        <v>9395</v>
      </c>
      <c r="F4407" t="str">
        <f>"201402004949"</f>
        <v>201402004949</v>
      </c>
      <c r="G4407" t="s">
        <v>540</v>
      </c>
      <c r="H4407" t="s">
        <v>20</v>
      </c>
      <c r="I4407">
        <v>1435</v>
      </c>
      <c r="J4407" t="s">
        <v>21</v>
      </c>
      <c r="K4407">
        <v>0</v>
      </c>
      <c r="M4407">
        <v>1388</v>
      </c>
    </row>
    <row r="4408" spans="1:13">
      <c r="A4408">
        <v>4402</v>
      </c>
      <c r="B4408">
        <v>73960</v>
      </c>
      <c r="C4408" t="s">
        <v>9396</v>
      </c>
      <c r="D4408" t="s">
        <v>811</v>
      </c>
      <c r="E4408" t="s">
        <v>9397</v>
      </c>
      <c r="F4408" t="str">
        <f>"00386223"</f>
        <v>00386223</v>
      </c>
      <c r="G4408" t="s">
        <v>19</v>
      </c>
      <c r="H4408" t="s">
        <v>20</v>
      </c>
      <c r="I4408">
        <v>1531</v>
      </c>
      <c r="J4408" t="s">
        <v>21</v>
      </c>
      <c r="K4408">
        <v>0</v>
      </c>
      <c r="M4408">
        <v>1383</v>
      </c>
    </row>
    <row r="4409" spans="1:13">
      <c r="A4409">
        <v>4403</v>
      </c>
      <c r="B4409">
        <v>67331</v>
      </c>
      <c r="C4409" t="s">
        <v>9398</v>
      </c>
      <c r="D4409" t="s">
        <v>9399</v>
      </c>
      <c r="E4409" t="s">
        <v>9400</v>
      </c>
      <c r="F4409" t="str">
        <f>"00320789"</f>
        <v>00320789</v>
      </c>
      <c r="G4409" t="s">
        <v>107</v>
      </c>
      <c r="H4409" t="s">
        <v>20</v>
      </c>
      <c r="I4409">
        <v>1472</v>
      </c>
      <c r="J4409" t="s">
        <v>21</v>
      </c>
      <c r="K4409">
        <v>0</v>
      </c>
      <c r="M4409">
        <v>1535</v>
      </c>
    </row>
    <row r="4410" spans="1:13">
      <c r="A4410">
        <v>4404</v>
      </c>
      <c r="B4410">
        <v>77662</v>
      </c>
      <c r="C4410" t="s">
        <v>9401</v>
      </c>
      <c r="D4410" t="s">
        <v>180</v>
      </c>
      <c r="E4410" t="s">
        <v>9402</v>
      </c>
      <c r="F4410" t="str">
        <f>"00383401"</f>
        <v>00383401</v>
      </c>
      <c r="G4410" t="s">
        <v>1079</v>
      </c>
      <c r="H4410" t="s">
        <v>20</v>
      </c>
      <c r="I4410">
        <v>1433</v>
      </c>
      <c r="J4410" t="s">
        <v>21</v>
      </c>
      <c r="K4410">
        <v>0</v>
      </c>
      <c r="M4410">
        <v>1428</v>
      </c>
    </row>
    <row r="4411" spans="1:13">
      <c r="A4411">
        <v>4405</v>
      </c>
      <c r="B4411">
        <v>70603</v>
      </c>
      <c r="C4411" t="s">
        <v>9403</v>
      </c>
      <c r="D4411" t="s">
        <v>102</v>
      </c>
      <c r="E4411" t="s">
        <v>9404</v>
      </c>
      <c r="F4411" t="str">
        <f>"00306720"</f>
        <v>00306720</v>
      </c>
      <c r="G4411" t="s">
        <v>709</v>
      </c>
      <c r="H4411" t="s">
        <v>20</v>
      </c>
      <c r="I4411">
        <v>1413</v>
      </c>
      <c r="J4411" t="s">
        <v>21</v>
      </c>
      <c r="K4411">
        <v>0</v>
      </c>
      <c r="L4411" t="s">
        <v>35</v>
      </c>
      <c r="M4411">
        <v>900</v>
      </c>
    </row>
    <row r="4412" spans="1:13">
      <c r="A4412">
        <v>4406</v>
      </c>
      <c r="B4412">
        <v>67936</v>
      </c>
      <c r="C4412" t="s">
        <v>9405</v>
      </c>
      <c r="D4412" t="s">
        <v>80</v>
      </c>
      <c r="E4412" t="s">
        <v>9406</v>
      </c>
      <c r="F4412" t="str">
        <f>"00405922"</f>
        <v>00405922</v>
      </c>
      <c r="G4412" t="s">
        <v>245</v>
      </c>
      <c r="H4412" t="s">
        <v>20</v>
      </c>
      <c r="I4412">
        <v>1406</v>
      </c>
      <c r="J4412" t="s">
        <v>21</v>
      </c>
      <c r="K4412">
        <v>0</v>
      </c>
      <c r="L4412" t="s">
        <v>35</v>
      </c>
      <c r="M4412">
        <v>950</v>
      </c>
    </row>
    <row r="4413" spans="1:13">
      <c r="A4413">
        <v>4407</v>
      </c>
      <c r="B4413">
        <v>99186</v>
      </c>
      <c r="C4413" t="s">
        <v>9407</v>
      </c>
      <c r="D4413" t="s">
        <v>243</v>
      </c>
      <c r="E4413" t="s">
        <v>9408</v>
      </c>
      <c r="F4413" t="str">
        <f>"00383324"</f>
        <v>00383324</v>
      </c>
      <c r="G4413" t="s">
        <v>380</v>
      </c>
      <c r="H4413" t="s">
        <v>20</v>
      </c>
      <c r="I4413">
        <v>1496</v>
      </c>
      <c r="J4413" t="s">
        <v>21</v>
      </c>
      <c r="K4413">
        <v>0</v>
      </c>
      <c r="L4413" t="s">
        <v>59</v>
      </c>
      <c r="M4413">
        <v>1362</v>
      </c>
    </row>
    <row r="4414" spans="1:13">
      <c r="A4414">
        <v>4408</v>
      </c>
      <c r="B4414">
        <v>57503</v>
      </c>
      <c r="C4414" t="s">
        <v>9409</v>
      </c>
      <c r="D4414" t="s">
        <v>130</v>
      </c>
      <c r="E4414" t="s">
        <v>9410</v>
      </c>
      <c r="F4414" t="str">
        <f>"00367471"</f>
        <v>00367471</v>
      </c>
      <c r="G4414" t="s">
        <v>215</v>
      </c>
      <c r="H4414" t="s">
        <v>216</v>
      </c>
      <c r="I4414">
        <v>1708</v>
      </c>
      <c r="J4414" t="s">
        <v>21</v>
      </c>
      <c r="K4414">
        <v>6</v>
      </c>
      <c r="L4414" t="s">
        <v>35</v>
      </c>
      <c r="M4414">
        <v>808</v>
      </c>
    </row>
    <row r="4415" spans="1:13">
      <c r="A4415">
        <v>4409</v>
      </c>
      <c r="B4415">
        <v>64566</v>
      </c>
      <c r="C4415" t="s">
        <v>9411</v>
      </c>
      <c r="D4415" t="s">
        <v>1001</v>
      </c>
      <c r="E4415" t="s">
        <v>9412</v>
      </c>
      <c r="F4415" t="str">
        <f>"201511012568"</f>
        <v>201511012568</v>
      </c>
      <c r="G4415" t="s">
        <v>47</v>
      </c>
      <c r="H4415" t="s">
        <v>48</v>
      </c>
      <c r="I4415">
        <v>1623</v>
      </c>
      <c r="J4415" t="s">
        <v>21</v>
      </c>
      <c r="K4415">
        <v>0</v>
      </c>
      <c r="M4415">
        <v>1338</v>
      </c>
    </row>
    <row r="4416" spans="1:13">
      <c r="A4416">
        <v>4410</v>
      </c>
      <c r="B4416">
        <v>83384</v>
      </c>
      <c r="C4416" t="s">
        <v>9413</v>
      </c>
      <c r="D4416" t="s">
        <v>145</v>
      </c>
      <c r="E4416" t="s">
        <v>9414</v>
      </c>
      <c r="F4416" t="str">
        <f>"00394441"</f>
        <v>00394441</v>
      </c>
      <c r="G4416" t="s">
        <v>170</v>
      </c>
      <c r="H4416" t="s">
        <v>20</v>
      </c>
      <c r="I4416">
        <v>1412</v>
      </c>
      <c r="J4416" t="s">
        <v>21</v>
      </c>
      <c r="K4416">
        <v>0</v>
      </c>
      <c r="L4416" t="s">
        <v>83</v>
      </c>
      <c r="M4416">
        <v>1278</v>
      </c>
    </row>
    <row r="4417" spans="1:13">
      <c r="A4417">
        <v>4411</v>
      </c>
      <c r="B4417">
        <v>61209</v>
      </c>
      <c r="C4417" t="s">
        <v>9415</v>
      </c>
      <c r="D4417" t="s">
        <v>2929</v>
      </c>
      <c r="E4417" t="s">
        <v>9416</v>
      </c>
      <c r="F4417" t="str">
        <f>"00277428"</f>
        <v>00277428</v>
      </c>
      <c r="G4417" t="s">
        <v>70</v>
      </c>
      <c r="H4417" t="s">
        <v>71</v>
      </c>
      <c r="I4417">
        <v>1702</v>
      </c>
      <c r="J4417" t="s">
        <v>21</v>
      </c>
      <c r="K4417">
        <v>0</v>
      </c>
      <c r="M4417">
        <v>1313</v>
      </c>
    </row>
    <row r="4418" spans="1:13">
      <c r="A4418">
        <v>4412</v>
      </c>
      <c r="B4418">
        <v>99167</v>
      </c>
      <c r="C4418" t="s">
        <v>9417</v>
      </c>
      <c r="D4418" t="s">
        <v>105</v>
      </c>
      <c r="E4418" t="s">
        <v>9418</v>
      </c>
      <c r="F4418" t="str">
        <f>"00172005"</f>
        <v>00172005</v>
      </c>
      <c r="G4418" t="s">
        <v>278</v>
      </c>
      <c r="H4418" t="s">
        <v>137</v>
      </c>
      <c r="I4418">
        <v>1605</v>
      </c>
      <c r="J4418" t="s">
        <v>21</v>
      </c>
      <c r="K4418">
        <v>0</v>
      </c>
      <c r="L4418" t="s">
        <v>88</v>
      </c>
      <c r="M4418">
        <v>650</v>
      </c>
    </row>
    <row r="4419" spans="1:13">
      <c r="A4419">
        <v>4413</v>
      </c>
      <c r="B4419">
        <v>83093</v>
      </c>
      <c r="C4419" t="s">
        <v>9419</v>
      </c>
      <c r="D4419" t="s">
        <v>85</v>
      </c>
      <c r="E4419" t="s">
        <v>9420</v>
      </c>
      <c r="F4419" t="str">
        <f>"201511012655"</f>
        <v>201511012655</v>
      </c>
      <c r="G4419" t="s">
        <v>107</v>
      </c>
      <c r="H4419" t="s">
        <v>20</v>
      </c>
      <c r="I4419">
        <v>1472</v>
      </c>
      <c r="J4419" t="s">
        <v>21</v>
      </c>
      <c r="K4419">
        <v>0</v>
      </c>
      <c r="M4419">
        <v>1388</v>
      </c>
    </row>
    <row r="4420" spans="1:13">
      <c r="A4420">
        <v>4414</v>
      </c>
      <c r="B4420">
        <v>71109</v>
      </c>
      <c r="C4420" t="s">
        <v>9421</v>
      </c>
      <c r="D4420" t="s">
        <v>2350</v>
      </c>
      <c r="E4420" t="s">
        <v>9422</v>
      </c>
      <c r="F4420" t="str">
        <f>"00394238"</f>
        <v>00394238</v>
      </c>
      <c r="G4420" t="s">
        <v>3225</v>
      </c>
      <c r="H4420" t="s">
        <v>20</v>
      </c>
      <c r="I4420">
        <v>1572</v>
      </c>
      <c r="J4420" t="s">
        <v>21</v>
      </c>
      <c r="K4420">
        <v>6</v>
      </c>
      <c r="L4420" t="s">
        <v>35</v>
      </c>
      <c r="M4420">
        <v>1158</v>
      </c>
    </row>
    <row r="4421" spans="1:13">
      <c r="A4421">
        <v>4415</v>
      </c>
      <c r="B4421">
        <v>87435</v>
      </c>
      <c r="C4421" t="s">
        <v>9423</v>
      </c>
      <c r="D4421" t="s">
        <v>109</v>
      </c>
      <c r="E4421" t="s">
        <v>9424</v>
      </c>
      <c r="F4421" t="str">
        <f>"00422215"</f>
        <v>00422215</v>
      </c>
      <c r="G4421" t="s">
        <v>365</v>
      </c>
      <c r="H4421" t="s">
        <v>366</v>
      </c>
      <c r="I4421">
        <v>1692</v>
      </c>
      <c r="J4421" t="s">
        <v>21</v>
      </c>
      <c r="K4421">
        <v>0</v>
      </c>
      <c r="L4421" t="s">
        <v>35</v>
      </c>
      <c r="M4421">
        <v>956</v>
      </c>
    </row>
    <row r="4422" spans="1:13">
      <c r="A4422">
        <v>4416</v>
      </c>
      <c r="B4422">
        <v>78773</v>
      </c>
      <c r="C4422" t="s">
        <v>9425</v>
      </c>
      <c r="D4422" t="s">
        <v>76</v>
      </c>
      <c r="E4422" t="s">
        <v>9426</v>
      </c>
      <c r="F4422" t="str">
        <f>"00017797"</f>
        <v>00017797</v>
      </c>
      <c r="G4422" t="s">
        <v>465</v>
      </c>
      <c r="H4422" t="s">
        <v>20</v>
      </c>
      <c r="I4422">
        <v>1534</v>
      </c>
      <c r="J4422" t="s">
        <v>21</v>
      </c>
      <c r="K4422">
        <v>0</v>
      </c>
      <c r="L4422" t="s">
        <v>35</v>
      </c>
      <c r="M4422">
        <v>875</v>
      </c>
    </row>
    <row r="4423" spans="1:13">
      <c r="A4423">
        <v>4417</v>
      </c>
      <c r="B4423">
        <v>46573</v>
      </c>
      <c r="C4423" t="s">
        <v>9427</v>
      </c>
      <c r="D4423" t="s">
        <v>145</v>
      </c>
      <c r="E4423" t="s">
        <v>9428</v>
      </c>
      <c r="F4423" t="str">
        <f>"00247940"</f>
        <v>00247940</v>
      </c>
      <c r="G4423" t="s">
        <v>1695</v>
      </c>
      <c r="H4423" t="s">
        <v>20</v>
      </c>
      <c r="I4423">
        <v>1533</v>
      </c>
      <c r="J4423" t="s">
        <v>21</v>
      </c>
      <c r="K4423">
        <v>0</v>
      </c>
      <c r="L4423" t="s">
        <v>35</v>
      </c>
      <c r="M4423">
        <v>853</v>
      </c>
    </row>
    <row r="4424" spans="1:13">
      <c r="A4424">
        <v>4418</v>
      </c>
      <c r="B4424">
        <v>88385</v>
      </c>
      <c r="C4424" t="s">
        <v>9429</v>
      </c>
      <c r="D4424" t="s">
        <v>198</v>
      </c>
      <c r="E4424" t="s">
        <v>9430</v>
      </c>
      <c r="F4424" t="str">
        <f>"00045746"</f>
        <v>00045746</v>
      </c>
      <c r="G4424" t="s">
        <v>178</v>
      </c>
      <c r="H4424" t="s">
        <v>20</v>
      </c>
      <c r="I4424">
        <v>1519</v>
      </c>
      <c r="J4424" t="s">
        <v>21</v>
      </c>
      <c r="K4424">
        <v>0</v>
      </c>
      <c r="L4424" t="s">
        <v>83</v>
      </c>
      <c r="M4424">
        <v>1288</v>
      </c>
    </row>
    <row r="4425" spans="1:13">
      <c r="A4425">
        <v>4419</v>
      </c>
      <c r="B4425">
        <v>71384</v>
      </c>
      <c r="C4425" t="s">
        <v>9431</v>
      </c>
      <c r="D4425" t="s">
        <v>102</v>
      </c>
      <c r="E4425" t="s">
        <v>9432</v>
      </c>
      <c r="F4425" t="str">
        <f>"00103578"</f>
        <v>00103578</v>
      </c>
      <c r="G4425" t="s">
        <v>245</v>
      </c>
      <c r="H4425" t="s">
        <v>20</v>
      </c>
      <c r="I4425">
        <v>1406</v>
      </c>
      <c r="J4425" t="s">
        <v>21</v>
      </c>
      <c r="K4425">
        <v>0</v>
      </c>
      <c r="L4425" t="s">
        <v>35</v>
      </c>
      <c r="M4425">
        <v>908</v>
      </c>
    </row>
    <row r="4426" spans="1:13">
      <c r="A4426">
        <v>4420</v>
      </c>
      <c r="B4426">
        <v>80524</v>
      </c>
      <c r="C4426" t="s">
        <v>9433</v>
      </c>
      <c r="D4426" t="s">
        <v>80</v>
      </c>
      <c r="E4426" t="s">
        <v>9434</v>
      </c>
      <c r="F4426" t="str">
        <f>"00391793"</f>
        <v>00391793</v>
      </c>
      <c r="G4426" t="s">
        <v>47</v>
      </c>
      <c r="H4426" t="s">
        <v>48</v>
      </c>
      <c r="I4426">
        <v>1623</v>
      </c>
      <c r="J4426" t="s">
        <v>21</v>
      </c>
      <c r="K4426">
        <v>0</v>
      </c>
      <c r="M4426">
        <v>1363</v>
      </c>
    </row>
    <row r="4427" spans="1:13">
      <c r="A4427">
        <v>4421</v>
      </c>
      <c r="B4427">
        <v>101883</v>
      </c>
      <c r="C4427" t="s">
        <v>9435</v>
      </c>
      <c r="D4427" t="s">
        <v>139</v>
      </c>
      <c r="E4427" t="s">
        <v>9436</v>
      </c>
      <c r="F4427" t="str">
        <f>"00372235"</f>
        <v>00372235</v>
      </c>
      <c r="G4427" t="s">
        <v>1203</v>
      </c>
      <c r="H4427" t="s">
        <v>20</v>
      </c>
      <c r="I4427">
        <v>1443</v>
      </c>
      <c r="J4427" t="s">
        <v>21</v>
      </c>
      <c r="K4427">
        <v>0</v>
      </c>
      <c r="L4427" t="s">
        <v>35</v>
      </c>
      <c r="M4427">
        <v>1108</v>
      </c>
    </row>
    <row r="4428" spans="1:13">
      <c r="A4428">
        <v>4422</v>
      </c>
      <c r="B4428">
        <v>103977</v>
      </c>
      <c r="C4428" t="s">
        <v>9437</v>
      </c>
      <c r="D4428" t="s">
        <v>1474</v>
      </c>
      <c r="E4428" t="s">
        <v>9438</v>
      </c>
      <c r="F4428" t="str">
        <f>"00407325"</f>
        <v>00407325</v>
      </c>
      <c r="G4428" t="s">
        <v>2055</v>
      </c>
      <c r="H4428" t="s">
        <v>1296</v>
      </c>
      <c r="I4428">
        <v>1637</v>
      </c>
      <c r="J4428" t="s">
        <v>21</v>
      </c>
      <c r="K4428">
        <v>0</v>
      </c>
      <c r="L4428" t="s">
        <v>35</v>
      </c>
      <c r="M4428">
        <v>1108</v>
      </c>
    </row>
    <row r="4429" spans="1:13">
      <c r="A4429">
        <v>4423</v>
      </c>
      <c r="B4429">
        <v>66253</v>
      </c>
      <c r="C4429" t="s">
        <v>9439</v>
      </c>
      <c r="D4429" t="s">
        <v>102</v>
      </c>
      <c r="E4429" t="s">
        <v>9440</v>
      </c>
      <c r="F4429" t="str">
        <f>"201402009981"</f>
        <v>201402009981</v>
      </c>
      <c r="G4429" t="s">
        <v>87</v>
      </c>
      <c r="H4429" t="s">
        <v>20</v>
      </c>
      <c r="I4429">
        <v>1436</v>
      </c>
      <c r="J4429" t="s">
        <v>21</v>
      </c>
      <c r="K4429">
        <v>0</v>
      </c>
      <c r="M4429">
        <v>1388</v>
      </c>
    </row>
    <row r="4430" spans="1:13">
      <c r="A4430">
        <v>4424</v>
      </c>
      <c r="B4430">
        <v>51750</v>
      </c>
      <c r="C4430" t="s">
        <v>9441</v>
      </c>
      <c r="D4430" t="s">
        <v>243</v>
      </c>
      <c r="E4430" t="s">
        <v>9442</v>
      </c>
      <c r="F4430" t="str">
        <f>"201411002885"</f>
        <v>201411002885</v>
      </c>
      <c r="G4430" t="s">
        <v>47</v>
      </c>
      <c r="H4430" t="s">
        <v>48</v>
      </c>
      <c r="I4430">
        <v>1623</v>
      </c>
      <c r="J4430" t="s">
        <v>21</v>
      </c>
      <c r="K4430">
        <v>0</v>
      </c>
      <c r="M4430">
        <v>1488</v>
      </c>
    </row>
    <row r="4431" spans="1:13">
      <c r="A4431">
        <v>4425</v>
      </c>
      <c r="B4431">
        <v>106812</v>
      </c>
      <c r="C4431" t="s">
        <v>9443</v>
      </c>
      <c r="D4431" t="s">
        <v>243</v>
      </c>
      <c r="E4431" t="s">
        <v>9444</v>
      </c>
      <c r="F4431" t="str">
        <f>"201604006127"</f>
        <v>201604006127</v>
      </c>
      <c r="G4431" t="s">
        <v>596</v>
      </c>
      <c r="H4431" t="s">
        <v>20</v>
      </c>
      <c r="I4431">
        <v>1562</v>
      </c>
      <c r="J4431" t="s">
        <v>21</v>
      </c>
      <c r="K4431">
        <v>6</v>
      </c>
      <c r="L4431" t="s">
        <v>35</v>
      </c>
      <c r="M4431">
        <v>738</v>
      </c>
    </row>
    <row r="4432" spans="1:13">
      <c r="A4432">
        <v>4426</v>
      </c>
      <c r="B4432">
        <v>48497</v>
      </c>
      <c r="C4432" t="s">
        <v>9445</v>
      </c>
      <c r="D4432" t="s">
        <v>3470</v>
      </c>
      <c r="E4432" t="s">
        <v>9446</v>
      </c>
      <c r="F4432" t="str">
        <f>"201510001865"</f>
        <v>201510001865</v>
      </c>
      <c r="G4432" t="s">
        <v>150</v>
      </c>
      <c r="H4432" t="s">
        <v>151</v>
      </c>
      <c r="I4432">
        <v>1699</v>
      </c>
      <c r="J4432" t="s">
        <v>21</v>
      </c>
      <c r="K4432">
        <v>0</v>
      </c>
      <c r="L4432" t="s">
        <v>88</v>
      </c>
      <c r="M4432">
        <v>500</v>
      </c>
    </row>
    <row r="4433" spans="1:13">
      <c r="A4433">
        <v>4427</v>
      </c>
      <c r="B4433">
        <v>46513</v>
      </c>
      <c r="C4433" t="s">
        <v>9447</v>
      </c>
      <c r="D4433" t="s">
        <v>90</v>
      </c>
      <c r="E4433" t="s">
        <v>9448</v>
      </c>
      <c r="F4433" t="str">
        <f>"00302002"</f>
        <v>00302002</v>
      </c>
      <c r="G4433" t="s">
        <v>437</v>
      </c>
      <c r="H4433" t="s">
        <v>20</v>
      </c>
      <c r="I4433">
        <v>1407</v>
      </c>
      <c r="J4433" t="s">
        <v>21</v>
      </c>
      <c r="K4433">
        <v>0</v>
      </c>
      <c r="L4433" t="s">
        <v>83</v>
      </c>
      <c r="M4433">
        <v>1288</v>
      </c>
    </row>
    <row r="4434" spans="1:13">
      <c r="A4434">
        <v>4428</v>
      </c>
      <c r="B4434">
        <v>79473</v>
      </c>
      <c r="C4434" t="s">
        <v>9449</v>
      </c>
      <c r="D4434" t="s">
        <v>130</v>
      </c>
      <c r="E4434" t="s">
        <v>9450</v>
      </c>
      <c r="F4434" t="str">
        <f>"00374730"</f>
        <v>00374730</v>
      </c>
      <c r="G4434" t="s">
        <v>520</v>
      </c>
      <c r="H4434" t="s">
        <v>20</v>
      </c>
      <c r="I4434">
        <v>1540</v>
      </c>
      <c r="J4434" t="s">
        <v>21</v>
      </c>
      <c r="K4434">
        <v>0</v>
      </c>
      <c r="L4434" t="s">
        <v>35</v>
      </c>
      <c r="M4434">
        <v>975</v>
      </c>
    </row>
    <row r="4435" spans="1:13">
      <c r="A4435">
        <v>4429</v>
      </c>
      <c r="B4435">
        <v>86122</v>
      </c>
      <c r="C4435" t="s">
        <v>9451</v>
      </c>
      <c r="D4435" t="s">
        <v>94</v>
      </c>
      <c r="E4435" t="s">
        <v>9452</v>
      </c>
      <c r="F4435" t="str">
        <f>"00375466"</f>
        <v>00375466</v>
      </c>
      <c r="G4435" t="s">
        <v>1653</v>
      </c>
      <c r="H4435" t="s">
        <v>20</v>
      </c>
      <c r="I4435">
        <v>1573</v>
      </c>
      <c r="J4435" t="s">
        <v>21</v>
      </c>
      <c r="K4435">
        <v>0</v>
      </c>
      <c r="L4435" t="s">
        <v>35</v>
      </c>
      <c r="M4435">
        <v>1135</v>
      </c>
    </row>
    <row r="4436" spans="1:13">
      <c r="A4436">
        <v>4430</v>
      </c>
      <c r="B4436">
        <v>66681</v>
      </c>
      <c r="C4436" t="s">
        <v>9453</v>
      </c>
      <c r="D4436" t="s">
        <v>145</v>
      </c>
      <c r="E4436" t="s">
        <v>9454</v>
      </c>
      <c r="F4436" t="str">
        <f>"200802011304"</f>
        <v>200802011304</v>
      </c>
      <c r="G4436" t="s">
        <v>2768</v>
      </c>
      <c r="H4436" t="s">
        <v>20</v>
      </c>
      <c r="I4436">
        <v>1409</v>
      </c>
      <c r="J4436" t="s">
        <v>21</v>
      </c>
      <c r="K4436">
        <v>0</v>
      </c>
      <c r="M4436">
        <v>1413</v>
      </c>
    </row>
    <row r="4437" spans="1:13">
      <c r="A4437">
        <v>4431</v>
      </c>
      <c r="B4437">
        <v>77239</v>
      </c>
      <c r="C4437" t="s">
        <v>9455</v>
      </c>
      <c r="D4437" t="s">
        <v>145</v>
      </c>
      <c r="E4437" t="s">
        <v>9456</v>
      </c>
      <c r="F4437" t="str">
        <f>"00384961"</f>
        <v>00384961</v>
      </c>
      <c r="G4437" t="s">
        <v>733</v>
      </c>
      <c r="H4437" t="s">
        <v>734</v>
      </c>
      <c r="I4437">
        <v>1596</v>
      </c>
      <c r="J4437" t="s">
        <v>21</v>
      </c>
      <c r="K4437">
        <v>0</v>
      </c>
      <c r="M4437">
        <v>1428</v>
      </c>
    </row>
    <row r="4438" spans="1:13">
      <c r="A4438">
        <v>4432</v>
      </c>
      <c r="B4438">
        <v>97295</v>
      </c>
      <c r="C4438" t="s">
        <v>9457</v>
      </c>
      <c r="D4438" t="s">
        <v>9094</v>
      </c>
      <c r="E4438" t="s">
        <v>9458</v>
      </c>
      <c r="F4438" t="str">
        <f>"00386104"</f>
        <v>00386104</v>
      </c>
      <c r="G4438" t="s">
        <v>125</v>
      </c>
      <c r="H4438" t="s">
        <v>20</v>
      </c>
      <c r="I4438">
        <v>1507</v>
      </c>
      <c r="J4438" t="s">
        <v>21</v>
      </c>
      <c r="K4438">
        <v>0</v>
      </c>
      <c r="L4438" t="s">
        <v>35</v>
      </c>
      <c r="M4438">
        <v>987</v>
      </c>
    </row>
    <row r="4439" spans="1:13">
      <c r="A4439">
        <v>4433</v>
      </c>
      <c r="B4439">
        <v>78493</v>
      </c>
      <c r="C4439" t="s">
        <v>9459</v>
      </c>
      <c r="D4439" t="s">
        <v>243</v>
      </c>
      <c r="E4439" t="s">
        <v>9460</v>
      </c>
      <c r="F4439" t="str">
        <f>"00237830"</f>
        <v>00237830</v>
      </c>
      <c r="G4439" t="s">
        <v>167</v>
      </c>
      <c r="H4439" t="s">
        <v>20</v>
      </c>
      <c r="I4439">
        <v>1486</v>
      </c>
      <c r="J4439" t="s">
        <v>21</v>
      </c>
      <c r="K4439">
        <v>0</v>
      </c>
      <c r="L4439" t="s">
        <v>35</v>
      </c>
      <c r="M4439">
        <v>1106</v>
      </c>
    </row>
    <row r="4440" spans="1:13">
      <c r="A4440">
        <v>4434</v>
      </c>
      <c r="B4440">
        <v>46098</v>
      </c>
      <c r="C4440" t="s">
        <v>9461</v>
      </c>
      <c r="D4440" t="s">
        <v>145</v>
      </c>
      <c r="E4440" t="s">
        <v>9462</v>
      </c>
      <c r="F4440" t="str">
        <f>"00251179"</f>
        <v>00251179</v>
      </c>
      <c r="G4440" t="s">
        <v>600</v>
      </c>
      <c r="H4440" t="s">
        <v>234</v>
      </c>
      <c r="I4440">
        <v>1337</v>
      </c>
      <c r="J4440" t="s">
        <v>21</v>
      </c>
      <c r="K4440">
        <v>0</v>
      </c>
      <c r="L4440" t="s">
        <v>35</v>
      </c>
      <c r="M4440">
        <v>1190</v>
      </c>
    </row>
    <row r="4441" spans="1:13">
      <c r="A4441">
        <v>4435</v>
      </c>
      <c r="B4441">
        <v>106092</v>
      </c>
      <c r="C4441" t="s">
        <v>9463</v>
      </c>
      <c r="D4441" t="s">
        <v>905</v>
      </c>
      <c r="E4441" t="s">
        <v>9464</v>
      </c>
      <c r="F4441" t="str">
        <f>"00385407"</f>
        <v>00385407</v>
      </c>
      <c r="G4441" t="s">
        <v>215</v>
      </c>
      <c r="H4441" t="s">
        <v>216</v>
      </c>
      <c r="I4441">
        <v>1708</v>
      </c>
      <c r="J4441" t="s">
        <v>21</v>
      </c>
      <c r="K4441">
        <v>6</v>
      </c>
      <c r="M4441">
        <v>1348</v>
      </c>
    </row>
    <row r="4442" spans="1:13">
      <c r="A4442">
        <v>4436</v>
      </c>
      <c r="B4442">
        <v>66973</v>
      </c>
      <c r="C4442" t="s">
        <v>9465</v>
      </c>
      <c r="D4442" t="s">
        <v>938</v>
      </c>
      <c r="E4442" t="s">
        <v>9466</v>
      </c>
      <c r="F4442" t="str">
        <f>"00256763"</f>
        <v>00256763</v>
      </c>
      <c r="G4442" t="s">
        <v>721</v>
      </c>
      <c r="H4442" t="s">
        <v>20</v>
      </c>
      <c r="I4442">
        <v>1575</v>
      </c>
      <c r="J4442" t="s">
        <v>21</v>
      </c>
      <c r="K4442">
        <v>0</v>
      </c>
      <c r="L4442" t="s">
        <v>83</v>
      </c>
      <c r="M4442">
        <v>1198</v>
      </c>
    </row>
    <row r="4443" spans="1:13">
      <c r="A4443">
        <v>4437</v>
      </c>
      <c r="B4443">
        <v>54779</v>
      </c>
      <c r="C4443" t="s">
        <v>9467</v>
      </c>
      <c r="D4443" t="s">
        <v>243</v>
      </c>
      <c r="E4443" t="s">
        <v>9468</v>
      </c>
      <c r="F4443" t="str">
        <f>"00349289"</f>
        <v>00349289</v>
      </c>
      <c r="G4443" t="s">
        <v>1595</v>
      </c>
      <c r="H4443" t="s">
        <v>20</v>
      </c>
      <c r="I4443">
        <v>1538</v>
      </c>
      <c r="J4443" t="s">
        <v>21</v>
      </c>
      <c r="K4443">
        <v>6</v>
      </c>
      <c r="M4443">
        <v>1378</v>
      </c>
    </row>
    <row r="4444" spans="1:13">
      <c r="A4444">
        <v>4438</v>
      </c>
      <c r="B4444">
        <v>59621</v>
      </c>
      <c r="C4444" t="s">
        <v>9469</v>
      </c>
      <c r="D4444" t="s">
        <v>391</v>
      </c>
      <c r="E4444" t="s">
        <v>9470</v>
      </c>
      <c r="F4444" t="str">
        <f>"00253567"</f>
        <v>00253567</v>
      </c>
      <c r="G4444" t="s">
        <v>42</v>
      </c>
      <c r="H4444" t="s">
        <v>43</v>
      </c>
      <c r="I4444">
        <v>1712</v>
      </c>
      <c r="J4444" t="s">
        <v>21</v>
      </c>
      <c r="K4444">
        <v>0</v>
      </c>
      <c r="L4444" t="s">
        <v>83</v>
      </c>
      <c r="M4444">
        <v>1288</v>
      </c>
    </row>
    <row r="4445" spans="1:13">
      <c r="A4445">
        <v>4439</v>
      </c>
      <c r="B4445">
        <v>84188</v>
      </c>
      <c r="C4445" t="s">
        <v>9471</v>
      </c>
      <c r="D4445" t="s">
        <v>180</v>
      </c>
      <c r="E4445" t="s">
        <v>9472</v>
      </c>
      <c r="F4445" t="str">
        <f>"00342857"</f>
        <v>00342857</v>
      </c>
      <c r="G4445" t="s">
        <v>42</v>
      </c>
      <c r="H4445" t="s">
        <v>43</v>
      </c>
      <c r="I4445">
        <v>1712</v>
      </c>
      <c r="J4445" t="s">
        <v>21</v>
      </c>
      <c r="K4445">
        <v>0</v>
      </c>
      <c r="L4445" t="s">
        <v>35</v>
      </c>
      <c r="M4445">
        <v>1100</v>
      </c>
    </row>
    <row r="4446" spans="1:13">
      <c r="A4446">
        <v>4440</v>
      </c>
      <c r="B4446">
        <v>46719</v>
      </c>
      <c r="C4446" t="s">
        <v>9473</v>
      </c>
      <c r="D4446" t="s">
        <v>105</v>
      </c>
      <c r="E4446" t="s">
        <v>9474</v>
      </c>
      <c r="F4446" t="str">
        <f>"00250060"</f>
        <v>00250060</v>
      </c>
      <c r="G4446" t="s">
        <v>196</v>
      </c>
      <c r="H4446" t="s">
        <v>20</v>
      </c>
      <c r="I4446">
        <v>1512</v>
      </c>
      <c r="J4446" t="s">
        <v>21</v>
      </c>
      <c r="K4446">
        <v>6</v>
      </c>
      <c r="L4446" t="s">
        <v>35</v>
      </c>
      <c r="M4446">
        <v>908</v>
      </c>
    </row>
    <row r="4447" spans="1:13">
      <c r="A4447">
        <v>4441</v>
      </c>
      <c r="B4447">
        <v>115911</v>
      </c>
      <c r="C4447" t="s">
        <v>9475</v>
      </c>
      <c r="D4447" t="s">
        <v>94</v>
      </c>
      <c r="E4447" t="s">
        <v>9476</v>
      </c>
      <c r="F4447" t="str">
        <f>"00319002"</f>
        <v>00319002</v>
      </c>
      <c r="G4447" t="s">
        <v>245</v>
      </c>
      <c r="H4447" t="s">
        <v>20</v>
      </c>
      <c r="I4447">
        <v>1406</v>
      </c>
      <c r="J4447" t="s">
        <v>21</v>
      </c>
      <c r="K4447">
        <v>0</v>
      </c>
      <c r="L4447" t="s">
        <v>35</v>
      </c>
      <c r="M4447">
        <v>908</v>
      </c>
    </row>
    <row r="4448" spans="1:13">
      <c r="A4448">
        <v>4442</v>
      </c>
      <c r="B4448">
        <v>60557</v>
      </c>
      <c r="C4448" t="s">
        <v>9477</v>
      </c>
      <c r="D4448" t="s">
        <v>102</v>
      </c>
      <c r="E4448" t="s">
        <v>9478</v>
      </c>
      <c r="F4448" t="str">
        <f>"00362859"</f>
        <v>00362859</v>
      </c>
      <c r="G4448" t="s">
        <v>1595</v>
      </c>
      <c r="H4448" t="s">
        <v>20</v>
      </c>
      <c r="I4448">
        <v>1538</v>
      </c>
      <c r="J4448" t="s">
        <v>21</v>
      </c>
      <c r="K4448">
        <v>6</v>
      </c>
      <c r="M4448">
        <v>1318</v>
      </c>
    </row>
    <row r="4449" spans="1:13">
      <c r="A4449">
        <v>4443</v>
      </c>
      <c r="B4449">
        <v>67882</v>
      </c>
      <c r="C4449" t="s">
        <v>9479</v>
      </c>
      <c r="D4449" t="s">
        <v>9480</v>
      </c>
      <c r="E4449" t="s">
        <v>9481</v>
      </c>
      <c r="F4449" t="str">
        <f>"00365500"</f>
        <v>00365500</v>
      </c>
      <c r="G4449" t="s">
        <v>215</v>
      </c>
      <c r="H4449" t="s">
        <v>216</v>
      </c>
      <c r="I4449">
        <v>1708</v>
      </c>
      <c r="J4449" t="s">
        <v>21</v>
      </c>
      <c r="K4449">
        <v>6</v>
      </c>
      <c r="M4449">
        <v>1307</v>
      </c>
    </row>
    <row r="4450" spans="1:13">
      <c r="A4450">
        <v>4444</v>
      </c>
      <c r="B4450">
        <v>103038</v>
      </c>
      <c r="C4450" t="s">
        <v>9482</v>
      </c>
      <c r="D4450" t="s">
        <v>80</v>
      </c>
      <c r="E4450" t="s">
        <v>9483</v>
      </c>
      <c r="F4450" t="str">
        <f>"00377235"</f>
        <v>00377235</v>
      </c>
      <c r="G4450" t="s">
        <v>837</v>
      </c>
      <c r="H4450" t="s">
        <v>20</v>
      </c>
      <c r="I4450">
        <v>1546</v>
      </c>
      <c r="J4450" t="s">
        <v>21</v>
      </c>
      <c r="K4450">
        <v>0</v>
      </c>
      <c r="L4450" t="s">
        <v>35</v>
      </c>
      <c r="M4450">
        <v>991</v>
      </c>
    </row>
    <row r="4451" spans="1:13">
      <c r="A4451">
        <v>4445</v>
      </c>
      <c r="B4451">
        <v>89223</v>
      </c>
      <c r="C4451" t="s">
        <v>9484</v>
      </c>
      <c r="D4451" t="s">
        <v>238</v>
      </c>
      <c r="E4451" t="s">
        <v>9485</v>
      </c>
      <c r="F4451" t="str">
        <f>"00411420"</f>
        <v>00411420</v>
      </c>
      <c r="G4451" t="s">
        <v>520</v>
      </c>
      <c r="H4451" t="s">
        <v>20</v>
      </c>
      <c r="I4451">
        <v>1540</v>
      </c>
      <c r="J4451" t="s">
        <v>21</v>
      </c>
      <c r="K4451">
        <v>0</v>
      </c>
      <c r="M4451">
        <v>1378</v>
      </c>
    </row>
    <row r="4452" spans="1:13">
      <c r="A4452">
        <v>4446</v>
      </c>
      <c r="B4452">
        <v>102750</v>
      </c>
      <c r="C4452" t="s">
        <v>9486</v>
      </c>
      <c r="D4452" t="s">
        <v>105</v>
      </c>
      <c r="E4452" t="s">
        <v>9487</v>
      </c>
      <c r="F4452" t="str">
        <f>"00404245"</f>
        <v>00404245</v>
      </c>
      <c r="G4452" t="s">
        <v>1682</v>
      </c>
      <c r="H4452" t="s">
        <v>241</v>
      </c>
      <c r="I4452">
        <v>1363</v>
      </c>
      <c r="J4452" t="s">
        <v>21</v>
      </c>
      <c r="K4452">
        <v>0</v>
      </c>
      <c r="L4452" t="s">
        <v>35</v>
      </c>
      <c r="M4452">
        <v>983</v>
      </c>
    </row>
    <row r="4453" spans="1:13">
      <c r="A4453">
        <v>4447</v>
      </c>
      <c r="B4453">
        <v>114988</v>
      </c>
      <c r="C4453" t="s">
        <v>9488</v>
      </c>
      <c r="D4453" t="s">
        <v>80</v>
      </c>
      <c r="E4453" t="s">
        <v>9489</v>
      </c>
      <c r="F4453" t="str">
        <f>"00420832"</f>
        <v>00420832</v>
      </c>
      <c r="G4453" t="s">
        <v>593</v>
      </c>
      <c r="H4453" t="s">
        <v>20</v>
      </c>
      <c r="I4453">
        <v>1444</v>
      </c>
      <c r="J4453" t="s">
        <v>21</v>
      </c>
      <c r="K4453">
        <v>0</v>
      </c>
      <c r="L4453" t="s">
        <v>35</v>
      </c>
      <c r="M4453">
        <v>1261</v>
      </c>
    </row>
    <row r="4454" spans="1:13">
      <c r="A4454">
        <v>4448</v>
      </c>
      <c r="B4454">
        <v>84120</v>
      </c>
      <c r="C4454" t="s">
        <v>9490</v>
      </c>
      <c r="D4454" t="s">
        <v>243</v>
      </c>
      <c r="E4454" t="s">
        <v>9491</v>
      </c>
      <c r="F4454" t="str">
        <f>"00394035"</f>
        <v>00394035</v>
      </c>
      <c r="G4454" t="s">
        <v>2369</v>
      </c>
      <c r="H4454" t="s">
        <v>241</v>
      </c>
      <c r="I4454">
        <v>1364</v>
      </c>
      <c r="J4454" t="s">
        <v>21</v>
      </c>
      <c r="K4454">
        <v>6</v>
      </c>
      <c r="L4454" t="s">
        <v>35</v>
      </c>
      <c r="M4454">
        <v>1055</v>
      </c>
    </row>
    <row r="4455" spans="1:13">
      <c r="A4455">
        <v>4449</v>
      </c>
      <c r="B4455">
        <v>50854</v>
      </c>
      <c r="C4455" t="s">
        <v>9492</v>
      </c>
      <c r="D4455" t="s">
        <v>914</v>
      </c>
      <c r="E4455" t="s">
        <v>9493</v>
      </c>
      <c r="F4455" t="str">
        <f>"201201000156"</f>
        <v>201201000156</v>
      </c>
      <c r="G4455" t="s">
        <v>1005</v>
      </c>
      <c r="H4455" t="s">
        <v>1423</v>
      </c>
      <c r="I4455">
        <v>1688</v>
      </c>
      <c r="J4455" t="s">
        <v>21</v>
      </c>
      <c r="K4455">
        <v>6</v>
      </c>
      <c r="L4455" t="s">
        <v>35</v>
      </c>
      <c r="M4455">
        <v>858</v>
      </c>
    </row>
    <row r="4456" spans="1:13">
      <c r="A4456">
        <v>4450</v>
      </c>
      <c r="B4456">
        <v>96985</v>
      </c>
      <c r="C4456" t="s">
        <v>9494</v>
      </c>
      <c r="D4456" t="s">
        <v>163</v>
      </c>
      <c r="E4456" t="s">
        <v>9495</v>
      </c>
      <c r="F4456" t="str">
        <f>"00402946"</f>
        <v>00402946</v>
      </c>
      <c r="G4456" t="s">
        <v>2458</v>
      </c>
      <c r="H4456" t="s">
        <v>270</v>
      </c>
      <c r="I4456">
        <v>1584</v>
      </c>
      <c r="J4456" t="s">
        <v>21</v>
      </c>
      <c r="K4456">
        <v>0</v>
      </c>
      <c r="L4456" t="s">
        <v>35</v>
      </c>
      <c r="M4456">
        <v>1374</v>
      </c>
    </row>
    <row r="4457" spans="1:13">
      <c r="A4457">
        <v>4451</v>
      </c>
      <c r="B4457">
        <v>92323</v>
      </c>
      <c r="C4457" t="s">
        <v>9496</v>
      </c>
      <c r="D4457" t="s">
        <v>80</v>
      </c>
      <c r="E4457" t="s">
        <v>9497</v>
      </c>
      <c r="F4457" t="str">
        <f>"00379936"</f>
        <v>00379936</v>
      </c>
      <c r="G4457" t="s">
        <v>527</v>
      </c>
      <c r="H4457" t="s">
        <v>20</v>
      </c>
      <c r="I4457">
        <v>1568</v>
      </c>
      <c r="J4457" t="s">
        <v>21</v>
      </c>
      <c r="K4457">
        <v>0</v>
      </c>
      <c r="L4457" t="s">
        <v>59</v>
      </c>
      <c r="M4457">
        <v>925</v>
      </c>
    </row>
    <row r="4458" spans="1:13">
      <c r="A4458">
        <v>4452</v>
      </c>
      <c r="B4458">
        <v>53874</v>
      </c>
      <c r="C4458" t="s">
        <v>9498</v>
      </c>
      <c r="D4458" t="s">
        <v>80</v>
      </c>
      <c r="E4458" t="s">
        <v>9499</v>
      </c>
      <c r="F4458" t="str">
        <f>"201406001334"</f>
        <v>201406001334</v>
      </c>
      <c r="G4458" t="s">
        <v>107</v>
      </c>
      <c r="H4458" t="s">
        <v>20</v>
      </c>
      <c r="I4458">
        <v>1472</v>
      </c>
      <c r="J4458" t="s">
        <v>21</v>
      </c>
      <c r="K4458">
        <v>0</v>
      </c>
      <c r="L4458" t="s">
        <v>59</v>
      </c>
      <c r="M4458">
        <v>982</v>
      </c>
    </row>
    <row r="4459" spans="1:13">
      <c r="A4459">
        <v>4453</v>
      </c>
      <c r="B4459">
        <v>55279</v>
      </c>
      <c r="C4459" t="s">
        <v>9500</v>
      </c>
      <c r="D4459" t="s">
        <v>105</v>
      </c>
      <c r="E4459" t="s">
        <v>9501</v>
      </c>
      <c r="F4459" t="str">
        <f>"00293517"</f>
        <v>00293517</v>
      </c>
      <c r="G4459" t="s">
        <v>511</v>
      </c>
      <c r="H4459" t="s">
        <v>3640</v>
      </c>
      <c r="I4459">
        <v>1713</v>
      </c>
      <c r="J4459" t="s">
        <v>21</v>
      </c>
      <c r="K4459">
        <v>6</v>
      </c>
      <c r="L4459" t="s">
        <v>83</v>
      </c>
      <c r="M4459">
        <v>1128</v>
      </c>
    </row>
    <row r="4460" spans="1:13">
      <c r="A4460">
        <v>4454</v>
      </c>
      <c r="B4460">
        <v>59643</v>
      </c>
      <c r="C4460" t="s">
        <v>9502</v>
      </c>
      <c r="D4460" t="s">
        <v>198</v>
      </c>
      <c r="E4460" t="s">
        <v>9503</v>
      </c>
      <c r="F4460" t="str">
        <f>"00327562"</f>
        <v>00327562</v>
      </c>
      <c r="G4460" t="s">
        <v>325</v>
      </c>
      <c r="H4460" t="s">
        <v>326</v>
      </c>
      <c r="I4460">
        <v>1592</v>
      </c>
      <c r="J4460" t="s">
        <v>21</v>
      </c>
      <c r="K4460">
        <v>0</v>
      </c>
      <c r="L4460" t="s">
        <v>35</v>
      </c>
      <c r="M4460">
        <v>1172</v>
      </c>
    </row>
    <row r="4461" spans="1:13">
      <c r="A4461">
        <v>4455</v>
      </c>
      <c r="B4461">
        <v>83046</v>
      </c>
      <c r="C4461" t="s">
        <v>9504</v>
      </c>
      <c r="D4461" t="s">
        <v>700</v>
      </c>
      <c r="E4461" t="s">
        <v>9505</v>
      </c>
      <c r="F4461" t="str">
        <f>"00388450"</f>
        <v>00388450</v>
      </c>
      <c r="G4461" t="s">
        <v>107</v>
      </c>
      <c r="H4461" t="s">
        <v>20</v>
      </c>
      <c r="I4461">
        <v>1472</v>
      </c>
      <c r="J4461" t="s">
        <v>21</v>
      </c>
      <c r="K4461">
        <v>0</v>
      </c>
      <c r="L4461" t="s">
        <v>83</v>
      </c>
      <c r="M4461">
        <v>1288</v>
      </c>
    </row>
    <row r="4462" spans="1:13">
      <c r="A4462">
        <v>4456</v>
      </c>
      <c r="B4462">
        <v>67860</v>
      </c>
      <c r="C4462" t="s">
        <v>9506</v>
      </c>
      <c r="D4462" t="s">
        <v>121</v>
      </c>
      <c r="E4462" t="s">
        <v>9507</v>
      </c>
      <c r="F4462" t="str">
        <f>"00148625"</f>
        <v>00148625</v>
      </c>
      <c r="G4462" t="s">
        <v>150</v>
      </c>
      <c r="H4462" t="s">
        <v>151</v>
      </c>
      <c r="I4462">
        <v>1699</v>
      </c>
      <c r="J4462" t="s">
        <v>21</v>
      </c>
      <c r="K4462">
        <v>0</v>
      </c>
      <c r="L4462" t="s">
        <v>35</v>
      </c>
      <c r="M4462">
        <v>850</v>
      </c>
    </row>
    <row r="4463" spans="1:13">
      <c r="A4463">
        <v>4457</v>
      </c>
      <c r="B4463">
        <v>80912</v>
      </c>
      <c r="C4463" t="s">
        <v>9508</v>
      </c>
      <c r="D4463" t="s">
        <v>121</v>
      </c>
      <c r="E4463" t="s">
        <v>9509</v>
      </c>
      <c r="F4463" t="str">
        <f>"00388168"</f>
        <v>00388168</v>
      </c>
      <c r="G4463" t="s">
        <v>38</v>
      </c>
      <c r="H4463" t="s">
        <v>39</v>
      </c>
      <c r="I4463">
        <v>1634</v>
      </c>
      <c r="J4463" t="s">
        <v>21</v>
      </c>
      <c r="K4463">
        <v>6</v>
      </c>
      <c r="M4463">
        <v>1100</v>
      </c>
    </row>
    <row r="4464" spans="1:13">
      <c r="A4464">
        <v>4458</v>
      </c>
      <c r="B4464">
        <v>56297</v>
      </c>
      <c r="C4464" t="s">
        <v>9510</v>
      </c>
      <c r="D4464" t="s">
        <v>105</v>
      </c>
      <c r="E4464" t="s">
        <v>9511</v>
      </c>
      <c r="F4464" t="str">
        <f>"00326644"</f>
        <v>00326644</v>
      </c>
      <c r="G4464" t="s">
        <v>883</v>
      </c>
      <c r="H4464" t="s">
        <v>270</v>
      </c>
      <c r="I4464">
        <v>1585</v>
      </c>
      <c r="J4464" t="s">
        <v>21</v>
      </c>
      <c r="K4464">
        <v>0</v>
      </c>
      <c r="L4464" t="s">
        <v>35</v>
      </c>
      <c r="M4464">
        <v>972</v>
      </c>
    </row>
    <row r="4465" spans="1:13">
      <c r="A4465">
        <v>4459</v>
      </c>
      <c r="B4465">
        <v>89903</v>
      </c>
      <c r="C4465" t="s">
        <v>9512</v>
      </c>
      <c r="D4465" t="s">
        <v>130</v>
      </c>
      <c r="E4465" t="s">
        <v>9513</v>
      </c>
      <c r="F4465" t="str">
        <f>"00312027"</f>
        <v>00312027</v>
      </c>
      <c r="G4465" t="s">
        <v>38</v>
      </c>
      <c r="H4465" t="s">
        <v>39</v>
      </c>
      <c r="I4465">
        <v>1634</v>
      </c>
      <c r="J4465" t="s">
        <v>21</v>
      </c>
      <c r="K4465">
        <v>6</v>
      </c>
      <c r="M4465">
        <v>1128</v>
      </c>
    </row>
    <row r="4466" spans="1:13">
      <c r="A4466">
        <v>4460</v>
      </c>
      <c r="B4466">
        <v>52413</v>
      </c>
      <c r="C4466" t="s">
        <v>9514</v>
      </c>
      <c r="D4466" t="s">
        <v>334</v>
      </c>
      <c r="E4466" t="s">
        <v>9515</v>
      </c>
      <c r="F4466" t="str">
        <f>"00365072"</f>
        <v>00365072</v>
      </c>
      <c r="G4466" t="s">
        <v>1155</v>
      </c>
      <c r="H4466" t="s">
        <v>20</v>
      </c>
      <c r="I4466">
        <v>1480</v>
      </c>
      <c r="J4466" t="s">
        <v>21</v>
      </c>
      <c r="K4466">
        <v>0</v>
      </c>
      <c r="L4466" t="s">
        <v>35</v>
      </c>
      <c r="M4466">
        <v>1100</v>
      </c>
    </row>
    <row r="4467" spans="1:13">
      <c r="A4467">
        <v>4461</v>
      </c>
      <c r="B4467">
        <v>87565</v>
      </c>
      <c r="C4467" t="s">
        <v>9516</v>
      </c>
      <c r="D4467" t="s">
        <v>145</v>
      </c>
      <c r="E4467" t="s">
        <v>9517</v>
      </c>
      <c r="F4467" t="str">
        <f>"00397940"</f>
        <v>00397940</v>
      </c>
      <c r="G4467" t="s">
        <v>1404</v>
      </c>
      <c r="H4467" t="s">
        <v>20</v>
      </c>
      <c r="I4467">
        <v>1414</v>
      </c>
      <c r="J4467" t="s">
        <v>21</v>
      </c>
      <c r="K4467">
        <v>0</v>
      </c>
      <c r="L4467" t="s">
        <v>59</v>
      </c>
      <c r="M4467">
        <v>1122</v>
      </c>
    </row>
    <row r="4468" spans="1:13">
      <c r="A4468">
        <v>4462</v>
      </c>
      <c r="B4468">
        <v>69760</v>
      </c>
      <c r="C4468" t="s">
        <v>9518</v>
      </c>
      <c r="D4468" t="s">
        <v>121</v>
      </c>
      <c r="E4468" t="s">
        <v>9519</v>
      </c>
      <c r="F4468" t="str">
        <f>"00396253"</f>
        <v>00396253</v>
      </c>
      <c r="G4468" t="s">
        <v>47</v>
      </c>
      <c r="H4468" t="s">
        <v>48</v>
      </c>
      <c r="I4468">
        <v>1623</v>
      </c>
      <c r="J4468" t="s">
        <v>21</v>
      </c>
      <c r="K4468">
        <v>0</v>
      </c>
      <c r="L4468" t="s">
        <v>59</v>
      </c>
      <c r="M4468">
        <v>988</v>
      </c>
    </row>
    <row r="4469" spans="1:13">
      <c r="A4469">
        <v>4463</v>
      </c>
      <c r="B4469">
        <v>71123</v>
      </c>
      <c r="C4469" t="s">
        <v>9520</v>
      </c>
      <c r="D4469" t="s">
        <v>243</v>
      </c>
      <c r="E4469" t="s">
        <v>9521</v>
      </c>
      <c r="F4469" t="str">
        <f>"00376085"</f>
        <v>00376085</v>
      </c>
      <c r="G4469" t="s">
        <v>47</v>
      </c>
      <c r="H4469" t="s">
        <v>48</v>
      </c>
      <c r="I4469">
        <v>1623</v>
      </c>
      <c r="J4469" t="s">
        <v>21</v>
      </c>
      <c r="K4469">
        <v>0</v>
      </c>
      <c r="M4469">
        <v>1388</v>
      </c>
    </row>
    <row r="4470" spans="1:13">
      <c r="A4470">
        <v>4464</v>
      </c>
      <c r="B4470">
        <v>54626</v>
      </c>
      <c r="C4470" t="s">
        <v>9522</v>
      </c>
      <c r="D4470" t="s">
        <v>130</v>
      </c>
      <c r="E4470" t="s">
        <v>9523</v>
      </c>
      <c r="F4470" t="str">
        <f>"00364283"</f>
        <v>00364283</v>
      </c>
      <c r="G4470" t="s">
        <v>38</v>
      </c>
      <c r="H4470" t="s">
        <v>39</v>
      </c>
      <c r="I4470">
        <v>1634</v>
      </c>
      <c r="J4470" t="s">
        <v>21</v>
      </c>
      <c r="K4470">
        <v>6</v>
      </c>
      <c r="M4470">
        <v>1428</v>
      </c>
    </row>
    <row r="4471" spans="1:13">
      <c r="A4471">
        <v>4465</v>
      </c>
      <c r="B4471">
        <v>75874</v>
      </c>
      <c r="C4471" t="s">
        <v>9524</v>
      </c>
      <c r="D4471" t="s">
        <v>76</v>
      </c>
      <c r="E4471" t="s">
        <v>9525</v>
      </c>
      <c r="F4471" t="str">
        <f>"00357796"</f>
        <v>00357796</v>
      </c>
      <c r="G4471" t="s">
        <v>418</v>
      </c>
      <c r="H4471" t="s">
        <v>234</v>
      </c>
      <c r="I4471">
        <v>1335</v>
      </c>
      <c r="J4471" t="s">
        <v>21</v>
      </c>
      <c r="K4471">
        <v>6</v>
      </c>
      <c r="M4471">
        <v>1488</v>
      </c>
    </row>
    <row r="4472" spans="1:13">
      <c r="A4472">
        <v>4466</v>
      </c>
      <c r="B4472">
        <v>103002</v>
      </c>
      <c r="C4472" t="s">
        <v>9526</v>
      </c>
      <c r="D4472" t="s">
        <v>3192</v>
      </c>
      <c r="E4472" t="s">
        <v>9527</v>
      </c>
      <c r="F4472" t="str">
        <f>"00004833"</f>
        <v>00004833</v>
      </c>
      <c r="G4472" t="s">
        <v>47</v>
      </c>
      <c r="H4472" t="s">
        <v>48</v>
      </c>
      <c r="I4472">
        <v>1623</v>
      </c>
      <c r="J4472" t="s">
        <v>21</v>
      </c>
      <c r="K4472">
        <v>0</v>
      </c>
      <c r="M4472">
        <v>1488</v>
      </c>
    </row>
    <row r="4473" spans="1:13">
      <c r="A4473">
        <v>4467</v>
      </c>
      <c r="B4473">
        <v>83509</v>
      </c>
      <c r="C4473" t="s">
        <v>9528</v>
      </c>
      <c r="D4473" t="s">
        <v>180</v>
      </c>
      <c r="E4473" t="s">
        <v>9529</v>
      </c>
      <c r="F4473" t="str">
        <f>"00402163"</f>
        <v>00402163</v>
      </c>
      <c r="G4473" t="s">
        <v>590</v>
      </c>
      <c r="H4473" t="s">
        <v>20</v>
      </c>
      <c r="I4473">
        <v>1451</v>
      </c>
      <c r="J4473" t="s">
        <v>21</v>
      </c>
      <c r="K4473">
        <v>0</v>
      </c>
      <c r="M4473">
        <v>1488</v>
      </c>
    </row>
    <row r="4474" spans="1:13">
      <c r="A4474">
        <v>4468</v>
      </c>
      <c r="B4474">
        <v>102001</v>
      </c>
      <c r="C4474" t="s">
        <v>9530</v>
      </c>
      <c r="D4474" t="s">
        <v>243</v>
      </c>
      <c r="E4474" t="s">
        <v>9531</v>
      </c>
      <c r="F4474" t="str">
        <f>"00402762"</f>
        <v>00402762</v>
      </c>
      <c r="G4474" t="s">
        <v>883</v>
      </c>
      <c r="H4474" t="s">
        <v>270</v>
      </c>
      <c r="I4474">
        <v>1585</v>
      </c>
      <c r="J4474" t="s">
        <v>21</v>
      </c>
      <c r="K4474">
        <v>0</v>
      </c>
      <c r="M4474">
        <v>1458</v>
      </c>
    </row>
    <row r="4475" spans="1:13">
      <c r="A4475">
        <v>4469</v>
      </c>
      <c r="B4475">
        <v>64607</v>
      </c>
      <c r="C4475" t="s">
        <v>9532</v>
      </c>
      <c r="D4475" t="s">
        <v>2950</v>
      </c>
      <c r="E4475" t="s">
        <v>9533</v>
      </c>
      <c r="F4475" t="str">
        <f>"00109173"</f>
        <v>00109173</v>
      </c>
      <c r="G4475" t="s">
        <v>481</v>
      </c>
      <c r="H4475" t="s">
        <v>20</v>
      </c>
      <c r="I4475">
        <v>1547</v>
      </c>
      <c r="J4475" t="s">
        <v>21</v>
      </c>
      <c r="K4475">
        <v>0</v>
      </c>
      <c r="M4475">
        <v>1442</v>
      </c>
    </row>
    <row r="4476" spans="1:13">
      <c r="A4476">
        <v>4470</v>
      </c>
      <c r="B4476">
        <v>79303</v>
      </c>
      <c r="C4476" t="s">
        <v>9534</v>
      </c>
      <c r="D4476" t="s">
        <v>145</v>
      </c>
      <c r="E4476" t="s">
        <v>9535</v>
      </c>
      <c r="F4476" t="str">
        <f>"00378394"</f>
        <v>00378394</v>
      </c>
      <c r="G4476" t="s">
        <v>1742</v>
      </c>
      <c r="H4476" t="s">
        <v>241</v>
      </c>
      <c r="I4476">
        <v>1365</v>
      </c>
      <c r="J4476" t="s">
        <v>21</v>
      </c>
      <c r="K4476">
        <v>0</v>
      </c>
      <c r="L4476" t="s">
        <v>35</v>
      </c>
      <c r="M4476">
        <v>1008</v>
      </c>
    </row>
    <row r="4477" spans="1:13">
      <c r="A4477">
        <v>4471</v>
      </c>
      <c r="B4477">
        <v>89155</v>
      </c>
      <c r="C4477" t="s">
        <v>9536</v>
      </c>
      <c r="D4477" t="s">
        <v>180</v>
      </c>
      <c r="E4477" t="s">
        <v>9537</v>
      </c>
      <c r="F4477" t="str">
        <f>"00399529"</f>
        <v>00399529</v>
      </c>
      <c r="G4477" t="s">
        <v>1245</v>
      </c>
      <c r="H4477" t="s">
        <v>20</v>
      </c>
      <c r="I4477">
        <v>1527</v>
      </c>
      <c r="J4477" t="s">
        <v>21</v>
      </c>
      <c r="K4477">
        <v>0</v>
      </c>
      <c r="L4477" t="s">
        <v>35</v>
      </c>
      <c r="M4477">
        <v>908</v>
      </c>
    </row>
    <row r="4478" spans="1:13">
      <c r="A4478">
        <v>4472</v>
      </c>
      <c r="B4478">
        <v>61529</v>
      </c>
      <c r="C4478" t="s">
        <v>9538</v>
      </c>
      <c r="D4478" t="s">
        <v>1385</v>
      </c>
      <c r="E4478" t="s">
        <v>9539</v>
      </c>
      <c r="F4478" t="str">
        <f>"00385160"</f>
        <v>00385160</v>
      </c>
      <c r="G4478" t="s">
        <v>125</v>
      </c>
      <c r="H4478" t="s">
        <v>20</v>
      </c>
      <c r="I4478">
        <v>1507</v>
      </c>
      <c r="J4478" t="s">
        <v>21</v>
      </c>
      <c r="K4478">
        <v>0</v>
      </c>
      <c r="L4478" t="s">
        <v>35</v>
      </c>
      <c r="M4478">
        <v>1170</v>
      </c>
    </row>
    <row r="4479" spans="1:13">
      <c r="A4479">
        <v>4473</v>
      </c>
      <c r="B4479">
        <v>60320</v>
      </c>
      <c r="C4479" t="s">
        <v>9540</v>
      </c>
      <c r="D4479" t="s">
        <v>700</v>
      </c>
      <c r="E4479" t="s">
        <v>9541</v>
      </c>
      <c r="F4479" t="str">
        <f>"00364370"</f>
        <v>00364370</v>
      </c>
      <c r="G4479" t="s">
        <v>593</v>
      </c>
      <c r="H4479" t="s">
        <v>20</v>
      </c>
      <c r="I4479">
        <v>1444</v>
      </c>
      <c r="J4479" t="s">
        <v>21</v>
      </c>
      <c r="K4479">
        <v>0</v>
      </c>
      <c r="L4479" t="s">
        <v>59</v>
      </c>
      <c r="M4479">
        <v>1204</v>
      </c>
    </row>
    <row r="4480" spans="1:13">
      <c r="A4480">
        <v>4474</v>
      </c>
      <c r="B4480">
        <v>60562</v>
      </c>
      <c r="C4480" t="s">
        <v>9542</v>
      </c>
      <c r="D4480" t="s">
        <v>180</v>
      </c>
      <c r="E4480" t="s">
        <v>9543</v>
      </c>
      <c r="F4480" t="str">
        <f>"00254633"</f>
        <v>00254633</v>
      </c>
      <c r="G4480" t="s">
        <v>1764</v>
      </c>
      <c r="H4480" t="s">
        <v>20</v>
      </c>
      <c r="I4480">
        <v>1532</v>
      </c>
      <c r="J4480" t="s">
        <v>21</v>
      </c>
      <c r="K4480">
        <v>0</v>
      </c>
      <c r="M4480">
        <v>1388</v>
      </c>
    </row>
    <row r="4481" spans="1:13">
      <c r="A4481">
        <v>4475</v>
      </c>
      <c r="B4481">
        <v>115034</v>
      </c>
      <c r="C4481" t="s">
        <v>9544</v>
      </c>
      <c r="D4481" t="s">
        <v>105</v>
      </c>
      <c r="E4481" t="s">
        <v>9545</v>
      </c>
      <c r="F4481" t="str">
        <f>"00416630"</f>
        <v>00416630</v>
      </c>
      <c r="G4481" t="s">
        <v>7406</v>
      </c>
      <c r="H4481" t="s">
        <v>1610</v>
      </c>
      <c r="I4481">
        <v>1307</v>
      </c>
      <c r="J4481" t="s">
        <v>21</v>
      </c>
      <c r="K4481">
        <v>0</v>
      </c>
      <c r="L4481" t="s">
        <v>35</v>
      </c>
      <c r="M4481">
        <v>1100</v>
      </c>
    </row>
    <row r="4482" spans="1:13">
      <c r="A4482">
        <v>4476</v>
      </c>
      <c r="B4482">
        <v>62943</v>
      </c>
      <c r="C4482" t="s">
        <v>9546</v>
      </c>
      <c r="D4482" t="s">
        <v>180</v>
      </c>
      <c r="E4482" t="s">
        <v>9547</v>
      </c>
      <c r="F4482" t="str">
        <f>"00274583"</f>
        <v>00274583</v>
      </c>
      <c r="G4482" t="s">
        <v>520</v>
      </c>
      <c r="H4482" t="s">
        <v>20</v>
      </c>
      <c r="I4482">
        <v>1540</v>
      </c>
      <c r="J4482" t="s">
        <v>21</v>
      </c>
      <c r="K4482">
        <v>0</v>
      </c>
      <c r="L4482" t="s">
        <v>35</v>
      </c>
      <c r="M4482">
        <v>950</v>
      </c>
    </row>
    <row r="4483" spans="1:13">
      <c r="A4483">
        <v>4477</v>
      </c>
      <c r="B4483">
        <v>84654</v>
      </c>
      <c r="C4483" t="s">
        <v>9548</v>
      </c>
      <c r="D4483" t="s">
        <v>180</v>
      </c>
      <c r="E4483" t="s">
        <v>9549</v>
      </c>
      <c r="F4483" t="str">
        <f>"00369966"</f>
        <v>00369966</v>
      </c>
      <c r="G4483" t="s">
        <v>150</v>
      </c>
      <c r="H4483" t="s">
        <v>151</v>
      </c>
      <c r="I4483">
        <v>1699</v>
      </c>
      <c r="J4483" t="s">
        <v>21</v>
      </c>
      <c r="K4483">
        <v>0</v>
      </c>
      <c r="L4483" t="s">
        <v>35</v>
      </c>
      <c r="M4483">
        <v>1100</v>
      </c>
    </row>
    <row r="4484" spans="1:13">
      <c r="A4484">
        <v>4478</v>
      </c>
      <c r="B4484">
        <v>65482</v>
      </c>
      <c r="C4484" t="s">
        <v>9550</v>
      </c>
      <c r="D4484" t="s">
        <v>209</v>
      </c>
      <c r="E4484" t="s">
        <v>9551</v>
      </c>
      <c r="F4484" t="str">
        <f>"00102743"</f>
        <v>00102743</v>
      </c>
      <c r="G4484" t="s">
        <v>610</v>
      </c>
      <c r="H4484" t="s">
        <v>20</v>
      </c>
      <c r="I4484">
        <v>1429</v>
      </c>
      <c r="J4484" t="s">
        <v>21</v>
      </c>
      <c r="K4484">
        <v>0</v>
      </c>
      <c r="L4484" t="s">
        <v>35</v>
      </c>
      <c r="M4484">
        <v>900</v>
      </c>
    </row>
    <row r="4485" spans="1:13">
      <c r="A4485">
        <v>4479</v>
      </c>
      <c r="B4485">
        <v>75087</v>
      </c>
      <c r="C4485" t="s">
        <v>9552</v>
      </c>
      <c r="D4485" t="s">
        <v>218</v>
      </c>
      <c r="E4485" t="s">
        <v>9553</v>
      </c>
      <c r="F4485" t="str">
        <f>"201511018440"</f>
        <v>201511018440</v>
      </c>
      <c r="G4485" t="s">
        <v>70</v>
      </c>
      <c r="H4485" t="s">
        <v>1377</v>
      </c>
      <c r="I4485">
        <v>1703</v>
      </c>
      <c r="J4485" t="s">
        <v>21</v>
      </c>
      <c r="K4485">
        <v>0</v>
      </c>
      <c r="L4485" t="s">
        <v>35</v>
      </c>
      <c r="M4485">
        <v>908</v>
      </c>
    </row>
    <row r="4486" spans="1:13">
      <c r="A4486">
        <v>4480</v>
      </c>
      <c r="B4486">
        <v>77255</v>
      </c>
      <c r="C4486" t="s">
        <v>9554</v>
      </c>
      <c r="D4486" t="s">
        <v>1489</v>
      </c>
      <c r="E4486" t="s">
        <v>9555</v>
      </c>
      <c r="F4486" t="str">
        <f>"00401246"</f>
        <v>00401246</v>
      </c>
      <c r="G4486" t="s">
        <v>883</v>
      </c>
      <c r="H4486" t="s">
        <v>270</v>
      </c>
      <c r="I4486">
        <v>1585</v>
      </c>
      <c r="J4486" t="s">
        <v>21</v>
      </c>
      <c r="K4486">
        <v>0</v>
      </c>
      <c r="M4486">
        <v>1468</v>
      </c>
    </row>
    <row r="4487" spans="1:13">
      <c r="A4487">
        <v>4481</v>
      </c>
      <c r="B4487">
        <v>53533</v>
      </c>
      <c r="C4487" t="s">
        <v>9556</v>
      </c>
      <c r="D4487" t="s">
        <v>218</v>
      </c>
      <c r="E4487" t="s">
        <v>9557</v>
      </c>
      <c r="F4487" t="str">
        <f>"00355593"</f>
        <v>00355593</v>
      </c>
      <c r="G4487" t="s">
        <v>125</v>
      </c>
      <c r="H4487" t="s">
        <v>20</v>
      </c>
      <c r="I4487">
        <v>1507</v>
      </c>
      <c r="J4487" t="s">
        <v>21</v>
      </c>
      <c r="K4487">
        <v>0</v>
      </c>
      <c r="L4487" t="s">
        <v>35</v>
      </c>
      <c r="M4487">
        <v>1008</v>
      </c>
    </row>
    <row r="4488" spans="1:13">
      <c r="A4488">
        <v>4482</v>
      </c>
      <c r="B4488">
        <v>89675</v>
      </c>
      <c r="C4488" t="s">
        <v>9558</v>
      </c>
      <c r="D4488" t="s">
        <v>180</v>
      </c>
      <c r="E4488" t="s">
        <v>9559</v>
      </c>
      <c r="F4488" t="str">
        <f>"00416487"</f>
        <v>00416487</v>
      </c>
      <c r="G4488" t="s">
        <v>230</v>
      </c>
      <c r="H4488" t="s">
        <v>20</v>
      </c>
      <c r="I4488">
        <v>1545</v>
      </c>
      <c r="J4488" t="s">
        <v>21</v>
      </c>
      <c r="K4488">
        <v>0</v>
      </c>
      <c r="M4488">
        <v>1548</v>
      </c>
    </row>
    <row r="4489" spans="1:13">
      <c r="A4489">
        <v>4483</v>
      </c>
      <c r="B4489">
        <v>87985</v>
      </c>
      <c r="C4489" t="s">
        <v>9560</v>
      </c>
      <c r="D4489" t="s">
        <v>80</v>
      </c>
      <c r="E4489" t="s">
        <v>9561</v>
      </c>
      <c r="F4489" t="str">
        <f>"00223695"</f>
        <v>00223695</v>
      </c>
      <c r="G4489" t="s">
        <v>7302</v>
      </c>
      <c r="H4489" t="s">
        <v>234</v>
      </c>
      <c r="I4489">
        <v>1325</v>
      </c>
      <c r="J4489" t="s">
        <v>21</v>
      </c>
      <c r="K4489">
        <v>7</v>
      </c>
      <c r="L4489" t="s">
        <v>35</v>
      </c>
      <c r="M4489">
        <v>974</v>
      </c>
    </row>
    <row r="4490" spans="1:13">
      <c r="A4490">
        <v>4484</v>
      </c>
      <c r="B4490">
        <v>107429</v>
      </c>
      <c r="C4490" t="s">
        <v>9562</v>
      </c>
      <c r="D4490" t="s">
        <v>180</v>
      </c>
      <c r="E4490" t="s">
        <v>9563</v>
      </c>
      <c r="F4490" t="str">
        <f>"201506001226"</f>
        <v>201506001226</v>
      </c>
      <c r="G4490" t="s">
        <v>111</v>
      </c>
      <c r="H4490" t="s">
        <v>48</v>
      </c>
      <c r="I4490">
        <v>1620</v>
      </c>
      <c r="J4490" t="s">
        <v>21</v>
      </c>
      <c r="K4490">
        <v>0</v>
      </c>
      <c r="L4490" t="s">
        <v>35</v>
      </c>
      <c r="M4490">
        <v>857</v>
      </c>
    </row>
    <row r="4491" spans="1:13">
      <c r="A4491">
        <v>4485</v>
      </c>
      <c r="B4491">
        <v>60970</v>
      </c>
      <c r="C4491" t="s">
        <v>9564</v>
      </c>
      <c r="D4491" t="s">
        <v>90</v>
      </c>
      <c r="E4491" t="s">
        <v>9565</v>
      </c>
      <c r="F4491" t="str">
        <f>"00361202"</f>
        <v>00361202</v>
      </c>
      <c r="G4491" t="s">
        <v>520</v>
      </c>
      <c r="H4491" t="s">
        <v>20</v>
      </c>
      <c r="I4491">
        <v>1540</v>
      </c>
      <c r="J4491" t="s">
        <v>21</v>
      </c>
      <c r="K4491">
        <v>0</v>
      </c>
      <c r="L4491" t="s">
        <v>88</v>
      </c>
      <c r="M4491">
        <v>700</v>
      </c>
    </row>
    <row r="4492" spans="1:13">
      <c r="A4492">
        <v>4486</v>
      </c>
      <c r="B4492">
        <v>74982</v>
      </c>
      <c r="C4492" t="s">
        <v>9566</v>
      </c>
      <c r="D4492" t="s">
        <v>180</v>
      </c>
      <c r="E4492" t="s">
        <v>9567</v>
      </c>
      <c r="F4492" t="str">
        <f>"201406001684"</f>
        <v>201406001684</v>
      </c>
      <c r="G4492" t="s">
        <v>29</v>
      </c>
      <c r="H4492" t="s">
        <v>20</v>
      </c>
      <c r="I4492">
        <v>1446</v>
      </c>
      <c r="J4492" t="s">
        <v>21</v>
      </c>
      <c r="K4492">
        <v>0</v>
      </c>
      <c r="M4492">
        <v>1388</v>
      </c>
    </row>
    <row r="4493" spans="1:13">
      <c r="A4493">
        <v>4487</v>
      </c>
      <c r="B4493">
        <v>114709</v>
      </c>
      <c r="C4493" t="s">
        <v>9568</v>
      </c>
      <c r="D4493" t="s">
        <v>243</v>
      </c>
      <c r="E4493" t="s">
        <v>9569</v>
      </c>
      <c r="F4493" t="str">
        <f>"201512003067"</f>
        <v>201512003067</v>
      </c>
      <c r="G4493" t="s">
        <v>47</v>
      </c>
      <c r="H4493" t="s">
        <v>48</v>
      </c>
      <c r="I4493">
        <v>1623</v>
      </c>
      <c r="J4493" t="s">
        <v>21</v>
      </c>
      <c r="K4493">
        <v>0</v>
      </c>
      <c r="L4493" t="s">
        <v>59</v>
      </c>
      <c r="M4493">
        <v>1148</v>
      </c>
    </row>
    <row r="4494" spans="1:13">
      <c r="A4494">
        <v>4488</v>
      </c>
      <c r="B4494">
        <v>60797</v>
      </c>
      <c r="C4494" t="s">
        <v>9570</v>
      </c>
      <c r="D4494" t="s">
        <v>557</v>
      </c>
      <c r="E4494" t="s">
        <v>9571</v>
      </c>
      <c r="F4494" t="str">
        <f>"00253734"</f>
        <v>00253734</v>
      </c>
      <c r="G4494" t="s">
        <v>1079</v>
      </c>
      <c r="H4494" t="s">
        <v>20</v>
      </c>
      <c r="I4494">
        <v>1433</v>
      </c>
      <c r="J4494" t="s">
        <v>21</v>
      </c>
      <c r="K4494">
        <v>0</v>
      </c>
      <c r="M4494">
        <v>1507</v>
      </c>
    </row>
    <row r="4495" spans="1:13">
      <c r="A4495">
        <v>4489</v>
      </c>
      <c r="B4495">
        <v>57878</v>
      </c>
      <c r="C4495" t="s">
        <v>9572</v>
      </c>
      <c r="D4495" t="s">
        <v>102</v>
      </c>
      <c r="E4495" t="s">
        <v>9573</v>
      </c>
      <c r="F4495" t="str">
        <f>"201511005549"</f>
        <v>201511005549</v>
      </c>
      <c r="G4495" t="s">
        <v>19</v>
      </c>
      <c r="H4495" t="s">
        <v>20</v>
      </c>
      <c r="I4495">
        <v>1531</v>
      </c>
      <c r="J4495" t="s">
        <v>21</v>
      </c>
      <c r="K4495">
        <v>0</v>
      </c>
      <c r="L4495" t="s">
        <v>35</v>
      </c>
      <c r="M4495">
        <v>908</v>
      </c>
    </row>
    <row r="4496" spans="1:13">
      <c r="A4496">
        <v>4490</v>
      </c>
      <c r="B4496">
        <v>82536</v>
      </c>
      <c r="C4496" t="s">
        <v>9574</v>
      </c>
      <c r="D4496" t="s">
        <v>94</v>
      </c>
      <c r="E4496" t="s">
        <v>9575</v>
      </c>
      <c r="F4496" t="str">
        <f>"00359904"</f>
        <v>00359904</v>
      </c>
      <c r="G4496" t="s">
        <v>488</v>
      </c>
      <c r="H4496" t="s">
        <v>20</v>
      </c>
      <c r="I4496">
        <v>1482</v>
      </c>
      <c r="J4496" t="s">
        <v>21</v>
      </c>
      <c r="K4496">
        <v>0</v>
      </c>
      <c r="L4496" t="s">
        <v>25</v>
      </c>
      <c r="M4496">
        <v>1266</v>
      </c>
    </row>
    <row r="4497" spans="1:13">
      <c r="A4497">
        <v>4491</v>
      </c>
      <c r="B4497">
        <v>76672</v>
      </c>
      <c r="C4497" t="s">
        <v>9574</v>
      </c>
      <c r="D4497" t="s">
        <v>102</v>
      </c>
      <c r="E4497" t="s">
        <v>9576</v>
      </c>
      <c r="F4497" t="str">
        <f>"00377156"</f>
        <v>00377156</v>
      </c>
      <c r="G4497" t="s">
        <v>19</v>
      </c>
      <c r="H4497" t="s">
        <v>20</v>
      </c>
      <c r="I4497">
        <v>1531</v>
      </c>
      <c r="J4497" t="s">
        <v>21</v>
      </c>
      <c r="K4497">
        <v>0</v>
      </c>
      <c r="L4497" t="s">
        <v>35</v>
      </c>
      <c r="M4497">
        <v>908</v>
      </c>
    </row>
    <row r="4498" spans="1:13">
      <c r="A4498">
        <v>4492</v>
      </c>
      <c r="B4498">
        <v>95227</v>
      </c>
      <c r="C4498" t="s">
        <v>9577</v>
      </c>
      <c r="D4498" t="s">
        <v>756</v>
      </c>
      <c r="E4498" t="s">
        <v>9578</v>
      </c>
      <c r="F4498" t="str">
        <f>"00391060"</f>
        <v>00391060</v>
      </c>
      <c r="G4498" t="s">
        <v>230</v>
      </c>
      <c r="H4498" t="s">
        <v>20</v>
      </c>
      <c r="I4498">
        <v>1545</v>
      </c>
      <c r="J4498" t="s">
        <v>21</v>
      </c>
      <c r="K4498">
        <v>0</v>
      </c>
      <c r="M4498">
        <v>1528</v>
      </c>
    </row>
    <row r="4499" spans="1:13">
      <c r="A4499">
        <v>4493</v>
      </c>
      <c r="B4499">
        <v>86440</v>
      </c>
      <c r="C4499" t="s">
        <v>9579</v>
      </c>
      <c r="D4499" t="s">
        <v>563</v>
      </c>
      <c r="E4499" t="s">
        <v>9580</v>
      </c>
      <c r="F4499" t="str">
        <f>"00417272"</f>
        <v>00417272</v>
      </c>
      <c r="G4499" t="s">
        <v>107</v>
      </c>
      <c r="H4499" t="s">
        <v>20</v>
      </c>
      <c r="I4499">
        <v>1472</v>
      </c>
      <c r="J4499" t="s">
        <v>21</v>
      </c>
      <c r="K4499">
        <v>0</v>
      </c>
      <c r="M4499">
        <v>1388</v>
      </c>
    </row>
    <row r="4500" spans="1:13">
      <c r="A4500">
        <v>4494</v>
      </c>
      <c r="B4500">
        <v>60479</v>
      </c>
      <c r="C4500" t="s">
        <v>9581</v>
      </c>
      <c r="D4500" t="s">
        <v>65</v>
      </c>
      <c r="E4500" t="s">
        <v>9582</v>
      </c>
      <c r="F4500" t="str">
        <f>"00257838"</f>
        <v>00257838</v>
      </c>
      <c r="G4500" t="s">
        <v>24</v>
      </c>
      <c r="H4500" t="s">
        <v>20</v>
      </c>
      <c r="I4500">
        <v>1577</v>
      </c>
      <c r="J4500" t="s">
        <v>21</v>
      </c>
      <c r="K4500">
        <v>0</v>
      </c>
      <c r="L4500" t="s">
        <v>88</v>
      </c>
      <c r="M4500">
        <v>475</v>
      </c>
    </row>
    <row r="4501" spans="1:13">
      <c r="A4501">
        <v>4495</v>
      </c>
      <c r="B4501">
        <v>55815</v>
      </c>
      <c r="C4501" t="s">
        <v>9583</v>
      </c>
      <c r="D4501" t="s">
        <v>109</v>
      </c>
      <c r="E4501" t="s">
        <v>9584</v>
      </c>
      <c r="F4501" t="str">
        <f>"00238953"</f>
        <v>00238953</v>
      </c>
      <c r="G4501" t="s">
        <v>709</v>
      </c>
      <c r="H4501" t="s">
        <v>20</v>
      </c>
      <c r="I4501">
        <v>1413</v>
      </c>
      <c r="J4501" t="s">
        <v>21</v>
      </c>
      <c r="K4501">
        <v>0</v>
      </c>
      <c r="M4501">
        <v>1528</v>
      </c>
    </row>
    <row r="4502" spans="1:13">
      <c r="A4502">
        <v>4496</v>
      </c>
      <c r="B4502">
        <v>99264</v>
      </c>
      <c r="C4502" t="s">
        <v>9585</v>
      </c>
      <c r="D4502" t="s">
        <v>180</v>
      </c>
      <c r="E4502" t="s">
        <v>9586</v>
      </c>
      <c r="F4502" t="str">
        <f>"00259866"</f>
        <v>00259866</v>
      </c>
      <c r="G4502" t="s">
        <v>47</v>
      </c>
      <c r="H4502" t="s">
        <v>48</v>
      </c>
      <c r="I4502">
        <v>1623</v>
      </c>
      <c r="J4502" t="s">
        <v>21</v>
      </c>
      <c r="K4502">
        <v>0</v>
      </c>
      <c r="L4502" t="s">
        <v>83</v>
      </c>
      <c r="M4502">
        <v>1228</v>
      </c>
    </row>
    <row r="4503" spans="1:13">
      <c r="A4503">
        <v>4497</v>
      </c>
      <c r="B4503">
        <v>109979</v>
      </c>
      <c r="C4503" t="s">
        <v>9587</v>
      </c>
      <c r="D4503" t="s">
        <v>249</v>
      </c>
      <c r="E4503" t="s">
        <v>9588</v>
      </c>
      <c r="F4503" t="str">
        <f>"00105459"</f>
        <v>00105459</v>
      </c>
      <c r="G4503" t="s">
        <v>284</v>
      </c>
      <c r="H4503" t="s">
        <v>270</v>
      </c>
      <c r="I4503">
        <v>1586</v>
      </c>
      <c r="J4503" t="s">
        <v>21</v>
      </c>
      <c r="K4503">
        <v>0</v>
      </c>
      <c r="L4503" t="s">
        <v>88</v>
      </c>
      <c r="M4503">
        <v>550</v>
      </c>
    </row>
    <row r="4504" spans="1:13">
      <c r="A4504">
        <v>4498</v>
      </c>
      <c r="B4504">
        <v>94955</v>
      </c>
      <c r="C4504" t="s">
        <v>9589</v>
      </c>
      <c r="D4504" t="s">
        <v>80</v>
      </c>
      <c r="E4504" t="s">
        <v>9590</v>
      </c>
      <c r="F4504" t="str">
        <f>"201406005607"</f>
        <v>201406005607</v>
      </c>
      <c r="G4504" t="s">
        <v>724</v>
      </c>
      <c r="H4504" t="s">
        <v>20</v>
      </c>
      <c r="I4504">
        <v>1411</v>
      </c>
      <c r="J4504" t="s">
        <v>21</v>
      </c>
      <c r="K4504">
        <v>0</v>
      </c>
      <c r="M4504">
        <v>1338</v>
      </c>
    </row>
    <row r="4505" spans="1:13">
      <c r="A4505">
        <v>4499</v>
      </c>
      <c r="B4505">
        <v>46164</v>
      </c>
      <c r="C4505" t="s">
        <v>9591</v>
      </c>
      <c r="D4505" t="s">
        <v>243</v>
      </c>
      <c r="E4505" t="s">
        <v>9592</v>
      </c>
      <c r="F4505" t="str">
        <f>"00252652"</f>
        <v>00252652</v>
      </c>
      <c r="G4505" t="s">
        <v>365</v>
      </c>
      <c r="H4505" t="s">
        <v>366</v>
      </c>
      <c r="I4505">
        <v>1692</v>
      </c>
      <c r="J4505" t="s">
        <v>21</v>
      </c>
      <c r="K4505">
        <v>0</v>
      </c>
      <c r="M4505">
        <v>1528</v>
      </c>
    </row>
    <row r="4506" spans="1:13">
      <c r="A4506">
        <v>4500</v>
      </c>
      <c r="B4506">
        <v>71008</v>
      </c>
      <c r="C4506" t="s">
        <v>9593</v>
      </c>
      <c r="D4506" t="s">
        <v>76</v>
      </c>
      <c r="E4506" t="s">
        <v>9594</v>
      </c>
      <c r="F4506" t="str">
        <f>"00252226"</f>
        <v>00252226</v>
      </c>
      <c r="G4506" t="s">
        <v>1682</v>
      </c>
      <c r="H4506" t="s">
        <v>241</v>
      </c>
      <c r="I4506">
        <v>1363</v>
      </c>
      <c r="J4506" t="s">
        <v>21</v>
      </c>
      <c r="K4506">
        <v>0</v>
      </c>
      <c r="M4506">
        <v>1588</v>
      </c>
    </row>
    <row r="4507" spans="1:13">
      <c r="A4507">
        <v>4501</v>
      </c>
      <c r="B4507">
        <v>112238</v>
      </c>
      <c r="C4507" t="s">
        <v>9595</v>
      </c>
      <c r="D4507" t="s">
        <v>90</v>
      </c>
      <c r="E4507" t="s">
        <v>9596</v>
      </c>
      <c r="F4507" t="str">
        <f>"00423109"</f>
        <v>00423109</v>
      </c>
      <c r="G4507" t="s">
        <v>371</v>
      </c>
      <c r="H4507" t="s">
        <v>20</v>
      </c>
      <c r="I4507">
        <v>1526</v>
      </c>
      <c r="J4507" t="s">
        <v>21</v>
      </c>
      <c r="K4507">
        <v>6</v>
      </c>
      <c r="M4507">
        <v>1128</v>
      </c>
    </row>
    <row r="4508" spans="1:13">
      <c r="A4508">
        <v>4502</v>
      </c>
      <c r="B4508">
        <v>114549</v>
      </c>
      <c r="C4508" t="s">
        <v>9597</v>
      </c>
      <c r="D4508" t="s">
        <v>180</v>
      </c>
      <c r="E4508" t="s">
        <v>9598</v>
      </c>
      <c r="F4508" t="str">
        <f>"00419283"</f>
        <v>00419283</v>
      </c>
      <c r="G4508" t="s">
        <v>737</v>
      </c>
      <c r="H4508" t="s">
        <v>738</v>
      </c>
      <c r="I4508">
        <v>1645</v>
      </c>
      <c r="J4508" t="s">
        <v>21</v>
      </c>
      <c r="K4508">
        <v>6</v>
      </c>
      <c r="L4508" t="s">
        <v>35</v>
      </c>
      <c r="M4508">
        <v>850</v>
      </c>
    </row>
    <row r="4509" spans="1:13">
      <c r="A4509">
        <v>4503</v>
      </c>
      <c r="B4509">
        <v>49377</v>
      </c>
      <c r="C4509" t="s">
        <v>9599</v>
      </c>
      <c r="D4509" t="s">
        <v>180</v>
      </c>
      <c r="E4509" t="s">
        <v>9600</v>
      </c>
      <c r="F4509" t="str">
        <f>"00248751"</f>
        <v>00248751</v>
      </c>
      <c r="G4509" t="s">
        <v>170</v>
      </c>
      <c r="H4509" t="s">
        <v>738</v>
      </c>
      <c r="I4509">
        <v>1643</v>
      </c>
      <c r="J4509" t="s">
        <v>21</v>
      </c>
      <c r="K4509">
        <v>0</v>
      </c>
      <c r="L4509" t="s">
        <v>35</v>
      </c>
      <c r="M4509">
        <v>908</v>
      </c>
    </row>
    <row r="4510" spans="1:13">
      <c r="A4510">
        <v>4504</v>
      </c>
      <c r="B4510">
        <v>95318</v>
      </c>
      <c r="C4510" t="s">
        <v>9601</v>
      </c>
      <c r="D4510" t="s">
        <v>243</v>
      </c>
      <c r="E4510" t="s">
        <v>9602</v>
      </c>
      <c r="F4510" t="str">
        <f>"00102863"</f>
        <v>00102863</v>
      </c>
      <c r="G4510" t="s">
        <v>1239</v>
      </c>
      <c r="H4510" t="s">
        <v>1296</v>
      </c>
      <c r="I4510">
        <v>1638</v>
      </c>
      <c r="J4510" t="s">
        <v>21</v>
      </c>
      <c r="K4510">
        <v>0</v>
      </c>
      <c r="M4510">
        <v>1488</v>
      </c>
    </row>
    <row r="4511" spans="1:13">
      <c r="A4511">
        <v>4505</v>
      </c>
      <c r="B4511">
        <v>84174</v>
      </c>
      <c r="C4511" t="s">
        <v>9603</v>
      </c>
      <c r="D4511" t="s">
        <v>76</v>
      </c>
      <c r="E4511" t="s">
        <v>9604</v>
      </c>
      <c r="F4511" t="str">
        <f>"00402376"</f>
        <v>00402376</v>
      </c>
      <c r="G4511" t="s">
        <v>258</v>
      </c>
      <c r="H4511" t="s">
        <v>20</v>
      </c>
      <c r="I4511">
        <v>1484</v>
      </c>
      <c r="J4511" t="s">
        <v>21</v>
      </c>
      <c r="K4511">
        <v>0</v>
      </c>
      <c r="M4511">
        <v>1388</v>
      </c>
    </row>
    <row r="4512" spans="1:13">
      <c r="A4512">
        <v>4506</v>
      </c>
      <c r="B4512">
        <v>95396</v>
      </c>
      <c r="C4512" t="s">
        <v>9605</v>
      </c>
      <c r="D4512" t="s">
        <v>213</v>
      </c>
      <c r="E4512" t="s">
        <v>9606</v>
      </c>
      <c r="F4512" t="str">
        <f>"00281224"</f>
        <v>00281224</v>
      </c>
      <c r="G4512" t="s">
        <v>1107</v>
      </c>
      <c r="H4512" t="s">
        <v>48</v>
      </c>
      <c r="I4512">
        <v>1626</v>
      </c>
      <c r="J4512" t="s">
        <v>21</v>
      </c>
      <c r="K4512">
        <v>0</v>
      </c>
      <c r="L4512" t="s">
        <v>35</v>
      </c>
      <c r="M4512">
        <v>908</v>
      </c>
    </row>
    <row r="4513" spans="1:13">
      <c r="A4513">
        <v>4507</v>
      </c>
      <c r="B4513">
        <v>64926</v>
      </c>
      <c r="C4513" t="s">
        <v>9607</v>
      </c>
      <c r="D4513" t="s">
        <v>243</v>
      </c>
      <c r="E4513" t="s">
        <v>9608</v>
      </c>
      <c r="F4513" t="str">
        <f>"200712002450"</f>
        <v>200712002450</v>
      </c>
      <c r="G4513" t="s">
        <v>1442</v>
      </c>
      <c r="H4513" t="s">
        <v>20</v>
      </c>
      <c r="I4513">
        <v>1578</v>
      </c>
      <c r="J4513" t="s">
        <v>21</v>
      </c>
      <c r="K4513">
        <v>7</v>
      </c>
      <c r="M4513">
        <v>1188</v>
      </c>
    </row>
    <row r="4514" spans="1:13">
      <c r="A4514">
        <v>4508</v>
      </c>
      <c r="B4514">
        <v>86582</v>
      </c>
      <c r="C4514" t="s">
        <v>9609</v>
      </c>
      <c r="D4514" t="s">
        <v>243</v>
      </c>
      <c r="E4514" t="s">
        <v>9610</v>
      </c>
      <c r="F4514" t="str">
        <f>"201511017579"</f>
        <v>201511017579</v>
      </c>
      <c r="G4514" t="s">
        <v>341</v>
      </c>
      <c r="H4514" t="s">
        <v>1296</v>
      </c>
      <c r="I4514">
        <v>1639</v>
      </c>
      <c r="J4514" t="s">
        <v>21</v>
      </c>
      <c r="K4514">
        <v>6</v>
      </c>
      <c r="M4514">
        <v>1232</v>
      </c>
    </row>
    <row r="4515" spans="1:13">
      <c r="A4515">
        <v>4509</v>
      </c>
      <c r="B4515">
        <v>51354</v>
      </c>
      <c r="C4515" t="s">
        <v>9611</v>
      </c>
      <c r="D4515" t="s">
        <v>80</v>
      </c>
      <c r="E4515" t="s">
        <v>9612</v>
      </c>
      <c r="F4515" t="str">
        <f>"00270776"</f>
        <v>00270776</v>
      </c>
      <c r="G4515" t="s">
        <v>9613</v>
      </c>
      <c r="H4515" t="s">
        <v>48</v>
      </c>
      <c r="I4515">
        <v>1622</v>
      </c>
      <c r="J4515" t="s">
        <v>21</v>
      </c>
      <c r="K4515">
        <v>0</v>
      </c>
      <c r="M4515">
        <v>1638</v>
      </c>
    </row>
    <row r="4516" spans="1:13">
      <c r="A4516">
        <v>4510</v>
      </c>
      <c r="B4516">
        <v>91979</v>
      </c>
      <c r="C4516" t="s">
        <v>9614</v>
      </c>
      <c r="D4516" t="s">
        <v>80</v>
      </c>
      <c r="E4516" t="s">
        <v>9615</v>
      </c>
      <c r="F4516" t="str">
        <f>"00075062"</f>
        <v>00075062</v>
      </c>
      <c r="G4516" t="s">
        <v>437</v>
      </c>
      <c r="H4516" t="s">
        <v>738</v>
      </c>
      <c r="I4516">
        <v>1646</v>
      </c>
      <c r="J4516" t="s">
        <v>21</v>
      </c>
      <c r="K4516">
        <v>0</v>
      </c>
      <c r="L4516" t="s">
        <v>35</v>
      </c>
      <c r="M4516">
        <v>1075</v>
      </c>
    </row>
    <row r="4517" spans="1:13">
      <c r="A4517">
        <v>4511</v>
      </c>
      <c r="B4517">
        <v>95560</v>
      </c>
      <c r="C4517" t="s">
        <v>9616</v>
      </c>
      <c r="D4517" t="s">
        <v>80</v>
      </c>
      <c r="E4517" t="s">
        <v>9617</v>
      </c>
      <c r="F4517" t="str">
        <f>"00382429"</f>
        <v>00382429</v>
      </c>
      <c r="G4517" t="s">
        <v>63</v>
      </c>
      <c r="H4517" t="s">
        <v>20</v>
      </c>
      <c r="I4517">
        <v>1576</v>
      </c>
      <c r="J4517" t="s">
        <v>21</v>
      </c>
      <c r="K4517">
        <v>0</v>
      </c>
      <c r="L4517" t="s">
        <v>83</v>
      </c>
      <c r="M4517">
        <v>1258</v>
      </c>
    </row>
    <row r="4518" spans="1:13">
      <c r="A4518">
        <v>4512</v>
      </c>
      <c r="B4518">
        <v>115905</v>
      </c>
      <c r="C4518" t="s">
        <v>9618</v>
      </c>
      <c r="D4518" t="s">
        <v>180</v>
      </c>
      <c r="E4518" t="s">
        <v>9619</v>
      </c>
      <c r="F4518" t="str">
        <f>"00407722"</f>
        <v>00407722</v>
      </c>
      <c r="G4518" t="s">
        <v>9620</v>
      </c>
      <c r="H4518" t="s">
        <v>535</v>
      </c>
      <c r="I4518">
        <v>1668</v>
      </c>
      <c r="J4518" t="s">
        <v>21</v>
      </c>
      <c r="K4518">
        <v>0</v>
      </c>
      <c r="M4518">
        <v>1528</v>
      </c>
    </row>
    <row r="4519" spans="1:13">
      <c r="A4519">
        <v>4513</v>
      </c>
      <c r="B4519">
        <v>88980</v>
      </c>
      <c r="C4519" t="s">
        <v>9621</v>
      </c>
      <c r="D4519" t="s">
        <v>180</v>
      </c>
      <c r="E4519" t="s">
        <v>9622</v>
      </c>
      <c r="F4519" t="str">
        <f>"00374395"</f>
        <v>00374395</v>
      </c>
      <c r="G4519" t="s">
        <v>639</v>
      </c>
      <c r="H4519" t="s">
        <v>48</v>
      </c>
      <c r="I4519">
        <v>1629</v>
      </c>
      <c r="J4519" t="s">
        <v>21</v>
      </c>
      <c r="K4519">
        <v>0</v>
      </c>
      <c r="M4519">
        <v>1368</v>
      </c>
    </row>
    <row r="4520" spans="1:13">
      <c r="A4520">
        <v>4514</v>
      </c>
      <c r="B4520">
        <v>59234</v>
      </c>
      <c r="C4520" t="s">
        <v>9623</v>
      </c>
      <c r="D4520" t="s">
        <v>180</v>
      </c>
      <c r="E4520" t="s">
        <v>9624</v>
      </c>
      <c r="F4520" t="str">
        <f>"00352708"</f>
        <v>00352708</v>
      </c>
      <c r="G4520" t="s">
        <v>358</v>
      </c>
      <c r="H4520" t="s">
        <v>20</v>
      </c>
      <c r="I4520">
        <v>1549</v>
      </c>
      <c r="J4520" t="s">
        <v>21</v>
      </c>
      <c r="K4520">
        <v>0</v>
      </c>
      <c r="L4520" t="s">
        <v>35</v>
      </c>
      <c r="M4520">
        <v>1073</v>
      </c>
    </row>
    <row r="4521" spans="1:13">
      <c r="A4521">
        <v>4515</v>
      </c>
      <c r="B4521">
        <v>99649</v>
      </c>
      <c r="C4521" t="s">
        <v>9625</v>
      </c>
      <c r="D4521" t="s">
        <v>180</v>
      </c>
      <c r="E4521" t="s">
        <v>9626</v>
      </c>
      <c r="F4521" t="str">
        <f>"00138596"</f>
        <v>00138596</v>
      </c>
      <c r="G4521" t="s">
        <v>82</v>
      </c>
      <c r="H4521" t="s">
        <v>20</v>
      </c>
      <c r="I4521">
        <v>1475</v>
      </c>
      <c r="J4521" t="s">
        <v>21</v>
      </c>
      <c r="K4521">
        <v>0</v>
      </c>
      <c r="L4521" t="s">
        <v>35</v>
      </c>
      <c r="M4521">
        <v>908</v>
      </c>
    </row>
    <row r="4522" spans="1:13">
      <c r="A4522">
        <v>4516</v>
      </c>
      <c r="B4522">
        <v>85379</v>
      </c>
      <c r="C4522" t="s">
        <v>9627</v>
      </c>
      <c r="D4522" t="s">
        <v>700</v>
      </c>
      <c r="E4522" t="s">
        <v>9628</v>
      </c>
      <c r="F4522" t="str">
        <f>"00145309"</f>
        <v>00145309</v>
      </c>
      <c r="G4522" t="s">
        <v>38</v>
      </c>
      <c r="H4522" t="s">
        <v>39</v>
      </c>
      <c r="I4522">
        <v>1634</v>
      </c>
      <c r="J4522" t="s">
        <v>21</v>
      </c>
      <c r="K4522">
        <v>6</v>
      </c>
      <c r="L4522" t="s">
        <v>35</v>
      </c>
      <c r="M4522">
        <v>600</v>
      </c>
    </row>
    <row r="4523" spans="1:13">
      <c r="A4523">
        <v>4517</v>
      </c>
      <c r="B4523">
        <v>70458</v>
      </c>
      <c r="C4523" t="s">
        <v>9629</v>
      </c>
      <c r="D4523" t="s">
        <v>9630</v>
      </c>
      <c r="E4523" t="s">
        <v>9631</v>
      </c>
      <c r="F4523" t="str">
        <f>"00377355"</f>
        <v>00377355</v>
      </c>
      <c r="G4523" t="s">
        <v>713</v>
      </c>
      <c r="H4523" t="s">
        <v>366</v>
      </c>
      <c r="I4523">
        <v>1690</v>
      </c>
      <c r="J4523" t="s">
        <v>21</v>
      </c>
      <c r="K4523">
        <v>0</v>
      </c>
      <c r="L4523" t="s">
        <v>35</v>
      </c>
      <c r="M4523">
        <v>1008</v>
      </c>
    </row>
    <row r="4524" spans="1:13">
      <c r="A4524">
        <v>4518</v>
      </c>
      <c r="B4524">
        <v>106090</v>
      </c>
      <c r="C4524" t="s">
        <v>9632</v>
      </c>
      <c r="D4524" t="s">
        <v>121</v>
      </c>
      <c r="E4524" t="s">
        <v>9633</v>
      </c>
      <c r="F4524" t="str">
        <f>"00403555"</f>
        <v>00403555</v>
      </c>
      <c r="G4524" t="s">
        <v>488</v>
      </c>
      <c r="H4524" t="s">
        <v>20</v>
      </c>
      <c r="I4524">
        <v>1482</v>
      </c>
      <c r="J4524" t="s">
        <v>21</v>
      </c>
      <c r="K4524">
        <v>0</v>
      </c>
      <c r="L4524" t="s">
        <v>35</v>
      </c>
      <c r="M4524">
        <v>900</v>
      </c>
    </row>
    <row r="4525" spans="1:13">
      <c r="A4525">
        <v>4519</v>
      </c>
      <c r="B4525">
        <v>76101</v>
      </c>
      <c r="C4525" t="s">
        <v>9634</v>
      </c>
      <c r="D4525" t="s">
        <v>316</v>
      </c>
      <c r="E4525" t="s">
        <v>9635</v>
      </c>
      <c r="F4525" t="str">
        <f>"00186814"</f>
        <v>00186814</v>
      </c>
      <c r="G4525" t="s">
        <v>19</v>
      </c>
      <c r="H4525" t="s">
        <v>20</v>
      </c>
      <c r="I4525">
        <v>1531</v>
      </c>
      <c r="J4525" t="s">
        <v>21</v>
      </c>
      <c r="K4525">
        <v>0</v>
      </c>
      <c r="L4525" t="s">
        <v>35</v>
      </c>
      <c r="M4525">
        <v>883</v>
      </c>
    </row>
    <row r="4526" spans="1:13">
      <c r="A4526">
        <v>4520</v>
      </c>
      <c r="B4526">
        <v>54130</v>
      </c>
      <c r="C4526" t="s">
        <v>9636</v>
      </c>
      <c r="D4526" t="s">
        <v>931</v>
      </c>
      <c r="E4526" t="s">
        <v>9637</v>
      </c>
      <c r="F4526" t="str">
        <f>"00359636"</f>
        <v>00359636</v>
      </c>
      <c r="G4526" t="s">
        <v>488</v>
      </c>
      <c r="H4526" t="s">
        <v>20</v>
      </c>
      <c r="I4526">
        <v>1482</v>
      </c>
      <c r="J4526" t="s">
        <v>21</v>
      </c>
      <c r="K4526">
        <v>0</v>
      </c>
      <c r="M4526">
        <v>1319</v>
      </c>
    </row>
    <row r="4527" spans="1:13">
      <c r="A4527">
        <v>4521</v>
      </c>
      <c r="B4527">
        <v>49117</v>
      </c>
      <c r="C4527" t="s">
        <v>9638</v>
      </c>
      <c r="D4527" t="s">
        <v>145</v>
      </c>
      <c r="E4527" t="s">
        <v>9639</v>
      </c>
      <c r="F4527" t="str">
        <f>"00253709"</f>
        <v>00253709</v>
      </c>
      <c r="G4527" t="s">
        <v>24</v>
      </c>
      <c r="H4527" t="s">
        <v>20</v>
      </c>
      <c r="I4527">
        <v>1577</v>
      </c>
      <c r="J4527" t="s">
        <v>21</v>
      </c>
      <c r="K4527">
        <v>0</v>
      </c>
      <c r="L4527" t="s">
        <v>88</v>
      </c>
      <c r="M4527">
        <v>425</v>
      </c>
    </row>
    <row r="4528" spans="1:13">
      <c r="A4528">
        <v>4522</v>
      </c>
      <c r="B4528">
        <v>88534</v>
      </c>
      <c r="C4528" t="s">
        <v>9640</v>
      </c>
      <c r="D4528" t="s">
        <v>2350</v>
      </c>
      <c r="E4528" t="s">
        <v>9641</v>
      </c>
      <c r="F4528" t="str">
        <f>"00397338"</f>
        <v>00397338</v>
      </c>
      <c r="G4528" t="s">
        <v>2145</v>
      </c>
      <c r="H4528" t="s">
        <v>20</v>
      </c>
      <c r="I4528">
        <v>1479</v>
      </c>
      <c r="J4528" t="s">
        <v>21</v>
      </c>
      <c r="K4528">
        <v>6</v>
      </c>
      <c r="M4528">
        <v>1288</v>
      </c>
    </row>
    <row r="4529" spans="1:13">
      <c r="A4529">
        <v>4523</v>
      </c>
      <c r="B4529">
        <v>85096</v>
      </c>
      <c r="C4529" t="s">
        <v>9642</v>
      </c>
      <c r="D4529" t="s">
        <v>209</v>
      </c>
      <c r="E4529" t="s">
        <v>9643</v>
      </c>
      <c r="F4529" t="str">
        <f>"00378685"</f>
        <v>00378685</v>
      </c>
      <c r="G4529" t="s">
        <v>150</v>
      </c>
      <c r="H4529" t="s">
        <v>151</v>
      </c>
      <c r="I4529">
        <v>1699</v>
      </c>
      <c r="J4529" t="s">
        <v>21</v>
      </c>
      <c r="K4529">
        <v>0</v>
      </c>
      <c r="L4529" t="s">
        <v>83</v>
      </c>
      <c r="M4529">
        <v>1208</v>
      </c>
    </row>
    <row r="4530" spans="1:13">
      <c r="A4530">
        <v>4524</v>
      </c>
      <c r="B4530">
        <v>67757</v>
      </c>
      <c r="C4530" t="s">
        <v>9644</v>
      </c>
      <c r="D4530" t="s">
        <v>145</v>
      </c>
      <c r="E4530" t="s">
        <v>9645</v>
      </c>
      <c r="F4530" t="str">
        <f>"00383924"</f>
        <v>00383924</v>
      </c>
      <c r="G4530" t="s">
        <v>125</v>
      </c>
      <c r="H4530" t="s">
        <v>20</v>
      </c>
      <c r="I4530">
        <v>1507</v>
      </c>
      <c r="J4530" t="s">
        <v>21</v>
      </c>
      <c r="K4530">
        <v>0</v>
      </c>
      <c r="L4530" t="s">
        <v>59</v>
      </c>
      <c r="M4530">
        <v>988</v>
      </c>
    </row>
    <row r="4531" spans="1:13">
      <c r="A4531">
        <v>4525</v>
      </c>
      <c r="B4531">
        <v>48518</v>
      </c>
      <c r="C4531" t="s">
        <v>9646</v>
      </c>
      <c r="D4531" t="s">
        <v>905</v>
      </c>
      <c r="E4531" t="s">
        <v>9647</v>
      </c>
      <c r="F4531" t="str">
        <f>"00354672"</f>
        <v>00354672</v>
      </c>
      <c r="G4531" t="s">
        <v>125</v>
      </c>
      <c r="H4531" t="s">
        <v>20</v>
      </c>
      <c r="I4531">
        <v>1507</v>
      </c>
      <c r="J4531" t="s">
        <v>21</v>
      </c>
      <c r="K4531">
        <v>0</v>
      </c>
      <c r="L4531" t="s">
        <v>88</v>
      </c>
      <c r="M4531">
        <v>625</v>
      </c>
    </row>
    <row r="4532" spans="1:13">
      <c r="A4532">
        <v>4526</v>
      </c>
      <c r="B4532">
        <v>114524</v>
      </c>
      <c r="C4532" t="s">
        <v>9648</v>
      </c>
      <c r="D4532" t="s">
        <v>76</v>
      </c>
      <c r="E4532" t="s">
        <v>9649</v>
      </c>
      <c r="F4532" t="str">
        <f>"00288335"</f>
        <v>00288335</v>
      </c>
      <c r="G4532" t="s">
        <v>4039</v>
      </c>
      <c r="H4532" t="s">
        <v>137</v>
      </c>
      <c r="I4532">
        <v>1611</v>
      </c>
      <c r="J4532" t="s">
        <v>21</v>
      </c>
      <c r="K4532">
        <v>7</v>
      </c>
      <c r="M4532">
        <v>988</v>
      </c>
    </row>
    <row r="4533" spans="1:13">
      <c r="A4533">
        <v>4527</v>
      </c>
      <c r="B4533">
        <v>50047</v>
      </c>
      <c r="C4533" t="s">
        <v>9650</v>
      </c>
      <c r="D4533" t="s">
        <v>6413</v>
      </c>
      <c r="E4533" t="s">
        <v>9651</v>
      </c>
      <c r="F4533" t="str">
        <f>"00253187"</f>
        <v>00253187</v>
      </c>
      <c r="G4533" t="s">
        <v>1595</v>
      </c>
      <c r="H4533" t="s">
        <v>20</v>
      </c>
      <c r="I4533">
        <v>1538</v>
      </c>
      <c r="J4533" t="s">
        <v>21</v>
      </c>
      <c r="K4533">
        <v>6</v>
      </c>
      <c r="L4533" t="s">
        <v>83</v>
      </c>
      <c r="M4533">
        <v>755</v>
      </c>
    </row>
    <row r="4534" spans="1:13">
      <c r="A4534">
        <v>4528</v>
      </c>
      <c r="B4534">
        <v>112050</v>
      </c>
      <c r="C4534" t="s">
        <v>9652</v>
      </c>
      <c r="D4534" t="s">
        <v>76</v>
      </c>
      <c r="E4534" t="s">
        <v>9653</v>
      </c>
      <c r="F4534" t="str">
        <f>"00411522"</f>
        <v>00411522</v>
      </c>
      <c r="G4534" t="s">
        <v>190</v>
      </c>
      <c r="H4534" t="s">
        <v>191</v>
      </c>
      <c r="I4534">
        <v>1618</v>
      </c>
      <c r="J4534" t="s">
        <v>21</v>
      </c>
      <c r="K4534">
        <v>0</v>
      </c>
      <c r="L4534" t="s">
        <v>35</v>
      </c>
      <c r="M4534">
        <v>936</v>
      </c>
    </row>
    <row r="4535" spans="1:13">
      <c r="A4535">
        <v>4529</v>
      </c>
      <c r="B4535">
        <v>73316</v>
      </c>
      <c r="C4535" t="s">
        <v>9654</v>
      </c>
      <c r="D4535" t="s">
        <v>76</v>
      </c>
      <c r="E4535" t="s">
        <v>9655</v>
      </c>
      <c r="F4535" t="str">
        <f>"00368414"</f>
        <v>00368414</v>
      </c>
      <c r="G4535" t="s">
        <v>47</v>
      </c>
      <c r="H4535" t="s">
        <v>48</v>
      </c>
      <c r="I4535">
        <v>1623</v>
      </c>
      <c r="J4535" t="s">
        <v>21</v>
      </c>
      <c r="K4535">
        <v>0</v>
      </c>
      <c r="L4535" t="s">
        <v>83</v>
      </c>
      <c r="M4535">
        <v>1268</v>
      </c>
    </row>
    <row r="4536" spans="1:13">
      <c r="A4536">
        <v>4530</v>
      </c>
      <c r="B4536">
        <v>115247</v>
      </c>
      <c r="C4536" t="s">
        <v>9656</v>
      </c>
      <c r="D4536" t="s">
        <v>105</v>
      </c>
      <c r="E4536" t="s">
        <v>9657</v>
      </c>
      <c r="F4536" t="str">
        <f>"00421647"</f>
        <v>00421647</v>
      </c>
      <c r="G4536" t="s">
        <v>178</v>
      </c>
      <c r="H4536" t="s">
        <v>20</v>
      </c>
      <c r="I4536">
        <v>1519</v>
      </c>
      <c r="J4536" t="s">
        <v>21</v>
      </c>
      <c r="K4536">
        <v>0</v>
      </c>
      <c r="L4536" t="s">
        <v>59</v>
      </c>
      <c r="M4536">
        <v>943</v>
      </c>
    </row>
    <row r="4537" spans="1:13">
      <c r="A4537">
        <v>4531</v>
      </c>
      <c r="B4537">
        <v>48708</v>
      </c>
      <c r="C4537" t="s">
        <v>9658</v>
      </c>
      <c r="D4537" t="s">
        <v>109</v>
      </c>
      <c r="E4537" t="s">
        <v>9659</v>
      </c>
      <c r="F4537" t="str">
        <f>"00280311"</f>
        <v>00280311</v>
      </c>
      <c r="G4537" t="s">
        <v>294</v>
      </c>
      <c r="H4537" t="s">
        <v>20</v>
      </c>
      <c r="I4537">
        <v>1421</v>
      </c>
      <c r="J4537" t="s">
        <v>21</v>
      </c>
      <c r="K4537">
        <v>0</v>
      </c>
      <c r="M4537">
        <v>1498</v>
      </c>
    </row>
    <row r="4538" spans="1:13">
      <c r="A4538">
        <v>4532</v>
      </c>
      <c r="B4538">
        <v>105666</v>
      </c>
      <c r="C4538" t="s">
        <v>9660</v>
      </c>
      <c r="D4538" t="s">
        <v>105</v>
      </c>
      <c r="E4538" t="s">
        <v>9661</v>
      </c>
      <c r="F4538" t="str">
        <f>"00247633"</f>
        <v>00247633</v>
      </c>
      <c r="G4538" t="s">
        <v>1079</v>
      </c>
      <c r="H4538" t="s">
        <v>20</v>
      </c>
      <c r="I4538">
        <v>1433</v>
      </c>
      <c r="J4538" t="s">
        <v>21</v>
      </c>
      <c r="K4538">
        <v>0</v>
      </c>
      <c r="L4538" t="s">
        <v>35</v>
      </c>
      <c r="M4538">
        <v>1008</v>
      </c>
    </row>
    <row r="4539" spans="1:13">
      <c r="A4539">
        <v>4533</v>
      </c>
      <c r="B4539">
        <v>60058</v>
      </c>
      <c r="C4539" t="s">
        <v>9662</v>
      </c>
      <c r="D4539" t="s">
        <v>145</v>
      </c>
      <c r="E4539" t="s">
        <v>9663</v>
      </c>
      <c r="F4539" t="str">
        <f>"201511017052"</f>
        <v>201511017052</v>
      </c>
      <c r="G4539" t="s">
        <v>155</v>
      </c>
      <c r="H4539" t="s">
        <v>156</v>
      </c>
      <c r="I4539">
        <v>1342</v>
      </c>
      <c r="J4539" t="s">
        <v>21</v>
      </c>
      <c r="K4539">
        <v>0</v>
      </c>
      <c r="L4539" t="s">
        <v>35</v>
      </c>
      <c r="M4539">
        <v>1050</v>
      </c>
    </row>
    <row r="4540" spans="1:13">
      <c r="A4540">
        <v>4534</v>
      </c>
      <c r="B4540">
        <v>112415</v>
      </c>
      <c r="C4540" t="s">
        <v>9664</v>
      </c>
      <c r="D4540" t="s">
        <v>105</v>
      </c>
      <c r="E4540" t="s">
        <v>9665</v>
      </c>
      <c r="F4540" t="str">
        <f>"00372400"</f>
        <v>00372400</v>
      </c>
      <c r="G4540" t="s">
        <v>211</v>
      </c>
      <c r="H4540" t="s">
        <v>48</v>
      </c>
      <c r="I4540">
        <v>1628</v>
      </c>
      <c r="J4540" t="s">
        <v>21</v>
      </c>
      <c r="K4540">
        <v>0</v>
      </c>
      <c r="L4540" t="s">
        <v>59</v>
      </c>
      <c r="M4540">
        <v>846</v>
      </c>
    </row>
    <row r="4541" spans="1:13">
      <c r="A4541">
        <v>4535</v>
      </c>
      <c r="B4541">
        <v>59591</v>
      </c>
      <c r="C4541" t="s">
        <v>9666</v>
      </c>
      <c r="D4541" t="s">
        <v>238</v>
      </c>
      <c r="E4541" t="s">
        <v>9667</v>
      </c>
      <c r="F4541" t="str">
        <f>"00359760"</f>
        <v>00359760</v>
      </c>
      <c r="G4541" t="s">
        <v>2369</v>
      </c>
      <c r="H4541" t="s">
        <v>241</v>
      </c>
      <c r="I4541">
        <v>1364</v>
      </c>
      <c r="J4541" t="s">
        <v>21</v>
      </c>
      <c r="K4541">
        <v>6</v>
      </c>
      <c r="L4541" t="s">
        <v>35</v>
      </c>
      <c r="M4541">
        <v>1208</v>
      </c>
    </row>
    <row r="4542" spans="1:13">
      <c r="A4542">
        <v>4536</v>
      </c>
      <c r="B4542">
        <v>107378</v>
      </c>
      <c r="C4542" t="s">
        <v>9668</v>
      </c>
      <c r="D4542" t="s">
        <v>80</v>
      </c>
      <c r="E4542" t="s">
        <v>9669</v>
      </c>
      <c r="F4542" t="str">
        <f>"00102824"</f>
        <v>00102824</v>
      </c>
      <c r="G4542" t="s">
        <v>111</v>
      </c>
      <c r="H4542" t="s">
        <v>48</v>
      </c>
      <c r="I4542">
        <v>1620</v>
      </c>
      <c r="J4542" t="s">
        <v>21</v>
      </c>
      <c r="K4542">
        <v>0</v>
      </c>
      <c r="M4542">
        <v>1378</v>
      </c>
    </row>
    <row r="4543" spans="1:13">
      <c r="A4543">
        <v>4537</v>
      </c>
      <c r="B4543">
        <v>62591</v>
      </c>
      <c r="C4543" t="s">
        <v>9670</v>
      </c>
      <c r="D4543" t="s">
        <v>4319</v>
      </c>
      <c r="E4543" t="s">
        <v>9671</v>
      </c>
      <c r="F4543" t="str">
        <f>"00350328"</f>
        <v>00350328</v>
      </c>
      <c r="G4543" t="s">
        <v>107</v>
      </c>
      <c r="H4543" t="s">
        <v>20</v>
      </c>
      <c r="I4543">
        <v>1472</v>
      </c>
      <c r="J4543" t="s">
        <v>21</v>
      </c>
      <c r="K4543">
        <v>0</v>
      </c>
      <c r="M4543">
        <v>1428</v>
      </c>
    </row>
    <row r="4544" spans="1:13">
      <c r="A4544">
        <v>4538</v>
      </c>
      <c r="B4544">
        <v>61364</v>
      </c>
      <c r="C4544" t="s">
        <v>9672</v>
      </c>
      <c r="D4544" t="s">
        <v>90</v>
      </c>
      <c r="E4544" t="s">
        <v>9673</v>
      </c>
      <c r="F4544" t="str">
        <f>"00288688"</f>
        <v>00288688</v>
      </c>
      <c r="G4544" t="s">
        <v>230</v>
      </c>
      <c r="H4544" t="s">
        <v>20</v>
      </c>
      <c r="I4544">
        <v>1545</v>
      </c>
      <c r="J4544" t="s">
        <v>21</v>
      </c>
      <c r="K4544">
        <v>0</v>
      </c>
      <c r="L4544" t="s">
        <v>35</v>
      </c>
      <c r="M4544">
        <v>1058</v>
      </c>
    </row>
    <row r="4545" spans="1:13">
      <c r="A4545">
        <v>4539</v>
      </c>
      <c r="B4545">
        <v>93623</v>
      </c>
      <c r="C4545" t="s">
        <v>9674</v>
      </c>
      <c r="D4545" t="s">
        <v>105</v>
      </c>
      <c r="E4545" t="s">
        <v>9675</v>
      </c>
      <c r="F4545" t="str">
        <f>"00400946"</f>
        <v>00400946</v>
      </c>
      <c r="G4545" t="s">
        <v>258</v>
      </c>
      <c r="H4545" t="s">
        <v>20</v>
      </c>
      <c r="I4545">
        <v>1484</v>
      </c>
      <c r="J4545" t="s">
        <v>21</v>
      </c>
      <c r="K4545">
        <v>0</v>
      </c>
      <c r="L4545" t="s">
        <v>35</v>
      </c>
      <c r="M4545">
        <v>958</v>
      </c>
    </row>
    <row r="4546" spans="1:13">
      <c r="A4546">
        <v>4540</v>
      </c>
      <c r="B4546">
        <v>79265</v>
      </c>
      <c r="C4546" t="s">
        <v>9676</v>
      </c>
      <c r="D4546" t="s">
        <v>105</v>
      </c>
      <c r="E4546" t="s">
        <v>9677</v>
      </c>
      <c r="F4546" t="str">
        <f>"00293046"</f>
        <v>00293046</v>
      </c>
      <c r="G4546" t="s">
        <v>107</v>
      </c>
      <c r="H4546" t="s">
        <v>20</v>
      </c>
      <c r="I4546">
        <v>1472</v>
      </c>
      <c r="J4546" t="s">
        <v>21</v>
      </c>
      <c r="K4546">
        <v>0</v>
      </c>
      <c r="L4546" t="s">
        <v>35</v>
      </c>
      <c r="M4546">
        <v>908</v>
      </c>
    </row>
    <row r="4547" spans="1:13">
      <c r="A4547">
        <v>4541</v>
      </c>
      <c r="B4547">
        <v>54651</v>
      </c>
      <c r="C4547" t="s">
        <v>9678</v>
      </c>
      <c r="D4547" t="s">
        <v>94</v>
      </c>
      <c r="E4547" t="s">
        <v>9679</v>
      </c>
      <c r="F4547" t="str">
        <f>"00250459"</f>
        <v>00250459</v>
      </c>
      <c r="G4547" t="s">
        <v>1682</v>
      </c>
      <c r="H4547" t="s">
        <v>20</v>
      </c>
      <c r="I4547">
        <v>1470</v>
      </c>
      <c r="J4547" t="s">
        <v>21</v>
      </c>
      <c r="K4547">
        <v>0</v>
      </c>
      <c r="M4547">
        <v>1828</v>
      </c>
    </row>
    <row r="4548" spans="1:13">
      <c r="A4548">
        <v>4542</v>
      </c>
      <c r="B4548">
        <v>88566</v>
      </c>
      <c r="C4548" t="s">
        <v>9680</v>
      </c>
      <c r="D4548" t="s">
        <v>102</v>
      </c>
      <c r="E4548" t="s">
        <v>9681</v>
      </c>
      <c r="F4548" t="str">
        <f>"00403960"</f>
        <v>00403960</v>
      </c>
      <c r="G4548" t="s">
        <v>245</v>
      </c>
      <c r="H4548" t="s">
        <v>20</v>
      </c>
      <c r="I4548">
        <v>1406</v>
      </c>
      <c r="J4548" t="s">
        <v>21</v>
      </c>
      <c r="K4548">
        <v>0</v>
      </c>
      <c r="M4548">
        <v>1788</v>
      </c>
    </row>
    <row r="4549" spans="1:13">
      <c r="A4549">
        <v>4543</v>
      </c>
      <c r="B4549">
        <v>102150</v>
      </c>
      <c r="C4549" t="s">
        <v>9682</v>
      </c>
      <c r="D4549" t="s">
        <v>105</v>
      </c>
      <c r="E4549" t="s">
        <v>9683</v>
      </c>
      <c r="F4549" t="str">
        <f>"00381047"</f>
        <v>00381047</v>
      </c>
      <c r="G4549" t="s">
        <v>596</v>
      </c>
      <c r="H4549" t="s">
        <v>20</v>
      </c>
      <c r="I4549">
        <v>1562</v>
      </c>
      <c r="J4549" t="s">
        <v>21</v>
      </c>
      <c r="K4549">
        <v>6</v>
      </c>
      <c r="L4549" t="s">
        <v>35</v>
      </c>
      <c r="M4549">
        <v>708</v>
      </c>
    </row>
    <row r="4550" spans="1:13">
      <c r="A4550">
        <v>4544</v>
      </c>
      <c r="B4550">
        <v>51474</v>
      </c>
      <c r="C4550" t="s">
        <v>9684</v>
      </c>
      <c r="D4550" t="s">
        <v>121</v>
      </c>
      <c r="E4550" t="s">
        <v>9685</v>
      </c>
      <c r="F4550" t="str">
        <f>"00255043"</f>
        <v>00255043</v>
      </c>
      <c r="G4550" t="s">
        <v>107</v>
      </c>
      <c r="H4550" t="s">
        <v>20</v>
      </c>
      <c r="I4550">
        <v>1472</v>
      </c>
      <c r="J4550" t="s">
        <v>21</v>
      </c>
      <c r="K4550">
        <v>0</v>
      </c>
      <c r="M4550">
        <v>1388</v>
      </c>
    </row>
    <row r="4551" spans="1:13">
      <c r="A4551">
        <v>4545</v>
      </c>
      <c r="B4551">
        <v>62695</v>
      </c>
      <c r="C4551" t="s">
        <v>9686</v>
      </c>
      <c r="D4551" t="s">
        <v>80</v>
      </c>
      <c r="E4551" t="s">
        <v>9687</v>
      </c>
      <c r="F4551" t="str">
        <f>"201406017537"</f>
        <v>201406017537</v>
      </c>
      <c r="G4551" t="s">
        <v>125</v>
      </c>
      <c r="H4551" t="s">
        <v>20</v>
      </c>
      <c r="I4551">
        <v>1507</v>
      </c>
      <c r="J4551" t="s">
        <v>21</v>
      </c>
      <c r="K4551">
        <v>0</v>
      </c>
      <c r="M4551">
        <v>1498</v>
      </c>
    </row>
    <row r="4552" spans="1:13">
      <c r="A4552">
        <v>4546</v>
      </c>
      <c r="B4552">
        <v>55208</v>
      </c>
      <c r="C4552" t="s">
        <v>9688</v>
      </c>
      <c r="D4552" t="s">
        <v>105</v>
      </c>
      <c r="E4552" t="s">
        <v>9689</v>
      </c>
      <c r="F4552" t="str">
        <f>"00101754"</f>
        <v>00101754</v>
      </c>
      <c r="G4552" t="s">
        <v>92</v>
      </c>
      <c r="H4552" t="s">
        <v>20</v>
      </c>
      <c r="I4552">
        <v>1425</v>
      </c>
      <c r="J4552" t="s">
        <v>21</v>
      </c>
      <c r="K4552">
        <v>0</v>
      </c>
      <c r="L4552" t="s">
        <v>35</v>
      </c>
      <c r="M4552">
        <v>1200</v>
      </c>
    </row>
    <row r="4553" spans="1:13">
      <c r="A4553">
        <v>4547</v>
      </c>
      <c r="B4553">
        <v>104617</v>
      </c>
      <c r="C4553" t="s">
        <v>9690</v>
      </c>
      <c r="D4553" t="s">
        <v>145</v>
      </c>
      <c r="E4553" t="s">
        <v>9691</v>
      </c>
      <c r="F4553" t="str">
        <f>"00321949"</f>
        <v>00321949</v>
      </c>
      <c r="G4553" t="s">
        <v>284</v>
      </c>
      <c r="H4553" t="s">
        <v>270</v>
      </c>
      <c r="I4553">
        <v>1586</v>
      </c>
      <c r="J4553" t="s">
        <v>21</v>
      </c>
      <c r="K4553">
        <v>0</v>
      </c>
      <c r="M4553">
        <v>1768</v>
      </c>
    </row>
    <row r="4554" spans="1:13">
      <c r="A4554">
        <v>4548</v>
      </c>
      <c r="B4554">
        <v>75987</v>
      </c>
      <c r="C4554" t="s">
        <v>9692</v>
      </c>
      <c r="D4554" t="s">
        <v>80</v>
      </c>
      <c r="E4554" t="s">
        <v>9693</v>
      </c>
      <c r="F4554" t="str">
        <f>"00343732"</f>
        <v>00343732</v>
      </c>
      <c r="G4554" t="s">
        <v>718</v>
      </c>
      <c r="H4554" t="s">
        <v>48</v>
      </c>
      <c r="I4554">
        <v>1625</v>
      </c>
      <c r="J4554" t="s">
        <v>21</v>
      </c>
      <c r="K4554">
        <v>0</v>
      </c>
      <c r="L4554" t="s">
        <v>83</v>
      </c>
      <c r="M4554">
        <v>1420</v>
      </c>
    </row>
    <row r="4555" spans="1:13">
      <c r="A4555">
        <v>4549</v>
      </c>
      <c r="B4555">
        <v>91338</v>
      </c>
      <c r="C4555" t="s">
        <v>9694</v>
      </c>
      <c r="D4555" t="s">
        <v>9695</v>
      </c>
      <c r="E4555" t="s">
        <v>9696</v>
      </c>
      <c r="F4555" t="str">
        <f>"00397959"</f>
        <v>00397959</v>
      </c>
      <c r="G4555" t="s">
        <v>47</v>
      </c>
      <c r="H4555" t="s">
        <v>48</v>
      </c>
      <c r="I4555">
        <v>1623</v>
      </c>
      <c r="J4555" t="s">
        <v>21</v>
      </c>
      <c r="K4555">
        <v>0</v>
      </c>
      <c r="L4555" t="s">
        <v>112</v>
      </c>
      <c r="M4555">
        <v>783</v>
      </c>
    </row>
    <row r="4556" spans="1:13">
      <c r="A4556">
        <v>4550</v>
      </c>
      <c r="B4556">
        <v>49433</v>
      </c>
      <c r="C4556" t="s">
        <v>9697</v>
      </c>
      <c r="D4556" t="s">
        <v>105</v>
      </c>
      <c r="E4556" t="s">
        <v>9698</v>
      </c>
      <c r="F4556" t="str">
        <f>"00368215"</f>
        <v>00368215</v>
      </c>
      <c r="G4556" t="s">
        <v>38</v>
      </c>
      <c r="H4556" t="s">
        <v>39</v>
      </c>
      <c r="I4556">
        <v>1634</v>
      </c>
      <c r="J4556" t="s">
        <v>21</v>
      </c>
      <c r="K4556">
        <v>6</v>
      </c>
      <c r="L4556" t="s">
        <v>112</v>
      </c>
      <c r="M4556">
        <v>437</v>
      </c>
    </row>
    <row r="4557" spans="1:13">
      <c r="A4557">
        <v>4551</v>
      </c>
      <c r="B4557">
        <v>91292</v>
      </c>
      <c r="C4557" t="s">
        <v>9699</v>
      </c>
      <c r="D4557" t="s">
        <v>109</v>
      </c>
      <c r="E4557" t="s">
        <v>9700</v>
      </c>
      <c r="F4557" t="str">
        <f>"00253630"</f>
        <v>00253630</v>
      </c>
      <c r="G4557" t="s">
        <v>1890</v>
      </c>
      <c r="H4557" t="s">
        <v>3499</v>
      </c>
      <c r="I4557">
        <v>1672</v>
      </c>
      <c r="J4557" t="s">
        <v>21</v>
      </c>
      <c r="K4557">
        <v>0</v>
      </c>
      <c r="L4557" t="s">
        <v>35</v>
      </c>
      <c r="M4557">
        <v>1100</v>
      </c>
    </row>
    <row r="4558" spans="1:13">
      <c r="A4558">
        <v>4552</v>
      </c>
      <c r="B4558">
        <v>62648</v>
      </c>
      <c r="C4558" t="s">
        <v>9701</v>
      </c>
      <c r="D4558" t="s">
        <v>260</v>
      </c>
      <c r="E4558" t="s">
        <v>9702</v>
      </c>
      <c r="F4558" t="str">
        <f>"00357845"</f>
        <v>00357845</v>
      </c>
      <c r="G4558" t="s">
        <v>107</v>
      </c>
      <c r="H4558" t="s">
        <v>20</v>
      </c>
      <c r="I4558">
        <v>1472</v>
      </c>
      <c r="J4558" t="s">
        <v>21</v>
      </c>
      <c r="K4558">
        <v>0</v>
      </c>
      <c r="L4558" t="s">
        <v>59</v>
      </c>
      <c r="M4558">
        <v>938</v>
      </c>
    </row>
    <row r="4559" spans="1:13">
      <c r="A4559">
        <v>4553</v>
      </c>
      <c r="B4559">
        <v>85933</v>
      </c>
      <c r="C4559" t="s">
        <v>9703</v>
      </c>
      <c r="D4559" t="s">
        <v>80</v>
      </c>
      <c r="E4559" t="s">
        <v>9704</v>
      </c>
      <c r="F4559" t="str">
        <f>"00372303"</f>
        <v>00372303</v>
      </c>
      <c r="G4559" t="s">
        <v>1226</v>
      </c>
      <c r="H4559" t="s">
        <v>137</v>
      </c>
      <c r="I4559">
        <v>1607</v>
      </c>
      <c r="J4559" t="s">
        <v>21</v>
      </c>
      <c r="K4559">
        <v>0</v>
      </c>
      <c r="M4559">
        <v>1624</v>
      </c>
    </row>
    <row r="4560" spans="1:13">
      <c r="A4560">
        <v>4554</v>
      </c>
      <c r="B4560">
        <v>106793</v>
      </c>
      <c r="C4560" t="s">
        <v>9705</v>
      </c>
      <c r="D4560" t="s">
        <v>109</v>
      </c>
      <c r="E4560" t="s">
        <v>9706</v>
      </c>
      <c r="F4560" t="str">
        <f>"00399829"</f>
        <v>00399829</v>
      </c>
      <c r="G4560" t="s">
        <v>520</v>
      </c>
      <c r="H4560" t="s">
        <v>20</v>
      </c>
      <c r="I4560">
        <v>1540</v>
      </c>
      <c r="J4560" t="s">
        <v>21</v>
      </c>
      <c r="K4560">
        <v>0</v>
      </c>
      <c r="M4560">
        <v>1388</v>
      </c>
    </row>
    <row r="4561" spans="1:13">
      <c r="A4561">
        <v>4555</v>
      </c>
      <c r="B4561">
        <v>102285</v>
      </c>
      <c r="C4561" t="s">
        <v>9707</v>
      </c>
      <c r="D4561" t="s">
        <v>218</v>
      </c>
      <c r="E4561" t="s">
        <v>9708</v>
      </c>
      <c r="F4561" t="str">
        <f>"201604000342"</f>
        <v>201604000342</v>
      </c>
      <c r="G4561" t="s">
        <v>3368</v>
      </c>
      <c r="H4561" t="s">
        <v>20</v>
      </c>
      <c r="I4561">
        <v>1452</v>
      </c>
      <c r="J4561" t="s">
        <v>21</v>
      </c>
      <c r="K4561">
        <v>0</v>
      </c>
      <c r="M4561">
        <v>1428</v>
      </c>
    </row>
    <row r="4562" spans="1:13">
      <c r="A4562">
        <v>4556</v>
      </c>
      <c r="B4562">
        <v>74406</v>
      </c>
      <c r="C4562" t="s">
        <v>9709</v>
      </c>
      <c r="D4562" t="s">
        <v>90</v>
      </c>
      <c r="E4562" t="s">
        <v>9710</v>
      </c>
      <c r="F4562" t="str">
        <f>"00402796"</f>
        <v>00402796</v>
      </c>
      <c r="G4562" t="s">
        <v>561</v>
      </c>
      <c r="H4562" t="s">
        <v>20</v>
      </c>
      <c r="I4562">
        <v>1574</v>
      </c>
      <c r="J4562" t="s">
        <v>21</v>
      </c>
      <c r="K4562">
        <v>0</v>
      </c>
      <c r="L4562" t="s">
        <v>35</v>
      </c>
      <c r="M4562">
        <v>1000</v>
      </c>
    </row>
    <row r="4563" spans="1:13">
      <c r="A4563">
        <v>4557</v>
      </c>
      <c r="B4563">
        <v>97352</v>
      </c>
      <c r="C4563" t="s">
        <v>9711</v>
      </c>
      <c r="D4563" t="s">
        <v>105</v>
      </c>
      <c r="E4563" t="s">
        <v>9712</v>
      </c>
      <c r="F4563" t="str">
        <f>"00073608"</f>
        <v>00073608</v>
      </c>
      <c r="G4563" t="s">
        <v>325</v>
      </c>
      <c r="H4563" t="s">
        <v>326</v>
      </c>
      <c r="I4563">
        <v>1592</v>
      </c>
      <c r="J4563" t="s">
        <v>21</v>
      </c>
      <c r="K4563">
        <v>0</v>
      </c>
      <c r="L4563" t="s">
        <v>35</v>
      </c>
      <c r="M4563">
        <v>1008</v>
      </c>
    </row>
    <row r="4564" spans="1:13">
      <c r="A4564">
        <v>4558</v>
      </c>
      <c r="B4564">
        <v>52302</v>
      </c>
      <c r="C4564" t="s">
        <v>9713</v>
      </c>
      <c r="D4564" t="s">
        <v>90</v>
      </c>
      <c r="E4564" t="s">
        <v>9714</v>
      </c>
      <c r="F4564" t="str">
        <f>"201502003472"</f>
        <v>201502003472</v>
      </c>
      <c r="G4564" t="s">
        <v>107</v>
      </c>
      <c r="H4564" t="s">
        <v>20</v>
      </c>
      <c r="I4564">
        <v>1472</v>
      </c>
      <c r="J4564" t="s">
        <v>21</v>
      </c>
      <c r="K4564">
        <v>0</v>
      </c>
      <c r="M4564">
        <v>1378</v>
      </c>
    </row>
    <row r="4565" spans="1:13">
      <c r="A4565">
        <v>4559</v>
      </c>
      <c r="B4565">
        <v>78907</v>
      </c>
      <c r="C4565" t="s">
        <v>9715</v>
      </c>
      <c r="D4565" t="s">
        <v>198</v>
      </c>
      <c r="E4565" t="s">
        <v>9716</v>
      </c>
      <c r="F4565" t="str">
        <f>"00020807"</f>
        <v>00020807</v>
      </c>
      <c r="G4565" t="s">
        <v>245</v>
      </c>
      <c r="H4565" t="s">
        <v>20</v>
      </c>
      <c r="I4565">
        <v>1406</v>
      </c>
      <c r="J4565" t="s">
        <v>21</v>
      </c>
      <c r="K4565">
        <v>0</v>
      </c>
      <c r="M4565">
        <v>1388</v>
      </c>
    </row>
    <row r="4566" spans="1:13">
      <c r="A4566">
        <v>4560</v>
      </c>
      <c r="B4566">
        <v>89684</v>
      </c>
      <c r="C4566" t="s">
        <v>9717</v>
      </c>
      <c r="D4566" t="s">
        <v>80</v>
      </c>
      <c r="E4566" t="s">
        <v>9718</v>
      </c>
      <c r="F4566" t="str">
        <f>"00395191"</f>
        <v>00395191</v>
      </c>
      <c r="G4566" t="s">
        <v>111</v>
      </c>
      <c r="H4566" t="s">
        <v>48</v>
      </c>
      <c r="I4566">
        <v>1620</v>
      </c>
      <c r="J4566" t="s">
        <v>21</v>
      </c>
      <c r="K4566">
        <v>0</v>
      </c>
      <c r="L4566" t="s">
        <v>35</v>
      </c>
      <c r="M4566">
        <v>874</v>
      </c>
    </row>
    <row r="4567" spans="1:13">
      <c r="A4567">
        <v>4561</v>
      </c>
      <c r="B4567">
        <v>77697</v>
      </c>
      <c r="C4567" t="s">
        <v>9719</v>
      </c>
      <c r="D4567" t="s">
        <v>9720</v>
      </c>
      <c r="E4567" t="s">
        <v>9721</v>
      </c>
      <c r="F4567" t="str">
        <f>"00247733"</f>
        <v>00247733</v>
      </c>
      <c r="G4567" t="s">
        <v>278</v>
      </c>
      <c r="H4567" t="s">
        <v>137</v>
      </c>
      <c r="I4567">
        <v>1605</v>
      </c>
      <c r="J4567" t="s">
        <v>21</v>
      </c>
      <c r="K4567">
        <v>0</v>
      </c>
      <c r="M4567">
        <v>1528</v>
      </c>
    </row>
    <row r="4568" spans="1:13">
      <c r="A4568">
        <v>4562</v>
      </c>
      <c r="B4568">
        <v>80487</v>
      </c>
      <c r="C4568" t="s">
        <v>9722</v>
      </c>
      <c r="D4568" t="s">
        <v>90</v>
      </c>
      <c r="E4568" t="s">
        <v>9723</v>
      </c>
      <c r="F4568" t="str">
        <f>"00404975"</f>
        <v>00404975</v>
      </c>
      <c r="G4568" t="s">
        <v>1890</v>
      </c>
      <c r="H4568" t="s">
        <v>1891</v>
      </c>
      <c r="I4568">
        <v>1671</v>
      </c>
      <c r="J4568" t="s">
        <v>21</v>
      </c>
      <c r="K4568">
        <v>0</v>
      </c>
      <c r="L4568" t="s">
        <v>35</v>
      </c>
      <c r="M4568">
        <v>958</v>
      </c>
    </row>
    <row r="4569" spans="1:13">
      <c r="A4569">
        <v>4563</v>
      </c>
      <c r="B4569">
        <v>83177</v>
      </c>
      <c r="C4569" t="s">
        <v>9724</v>
      </c>
      <c r="D4569" t="s">
        <v>180</v>
      </c>
      <c r="E4569" t="s">
        <v>9725</v>
      </c>
      <c r="F4569" t="str">
        <f>"00407533"</f>
        <v>00407533</v>
      </c>
      <c r="G4569" t="s">
        <v>520</v>
      </c>
      <c r="H4569" t="s">
        <v>20</v>
      </c>
      <c r="I4569">
        <v>1540</v>
      </c>
      <c r="J4569" t="s">
        <v>21</v>
      </c>
      <c r="K4569">
        <v>0</v>
      </c>
      <c r="L4569" t="s">
        <v>112</v>
      </c>
      <c r="M4569">
        <v>808</v>
      </c>
    </row>
    <row r="4570" spans="1:13">
      <c r="A4570">
        <v>4564</v>
      </c>
      <c r="B4570">
        <v>47921</v>
      </c>
      <c r="C4570" t="s">
        <v>9726</v>
      </c>
      <c r="D4570" t="s">
        <v>1042</v>
      </c>
      <c r="E4570" t="s">
        <v>9727</v>
      </c>
      <c r="F4570" t="str">
        <f>"201511012383"</f>
        <v>201511012383</v>
      </c>
      <c r="G4570" t="s">
        <v>47</v>
      </c>
      <c r="H4570" t="s">
        <v>48</v>
      </c>
      <c r="I4570">
        <v>1623</v>
      </c>
      <c r="J4570" t="s">
        <v>21</v>
      </c>
      <c r="K4570">
        <v>0</v>
      </c>
      <c r="M4570">
        <v>1438</v>
      </c>
    </row>
    <row r="4571" spans="1:13">
      <c r="A4571">
        <v>4565</v>
      </c>
      <c r="B4571">
        <v>64374</v>
      </c>
      <c r="C4571" t="s">
        <v>9728</v>
      </c>
      <c r="D4571" t="s">
        <v>80</v>
      </c>
      <c r="E4571" t="s">
        <v>9729</v>
      </c>
      <c r="F4571" t="str">
        <f>"00365836"</f>
        <v>00365836</v>
      </c>
      <c r="G4571" t="s">
        <v>70</v>
      </c>
      <c r="H4571" t="s">
        <v>71</v>
      </c>
      <c r="I4571">
        <v>1702</v>
      </c>
      <c r="J4571" t="s">
        <v>21</v>
      </c>
      <c r="K4571">
        <v>0</v>
      </c>
      <c r="M4571">
        <v>1428</v>
      </c>
    </row>
    <row r="4572" spans="1:13">
      <c r="A4572">
        <v>4566</v>
      </c>
      <c r="B4572">
        <v>92741</v>
      </c>
      <c r="C4572" t="s">
        <v>9730</v>
      </c>
      <c r="D4572" t="s">
        <v>121</v>
      </c>
      <c r="E4572" t="s">
        <v>9731</v>
      </c>
      <c r="F4572" t="str">
        <f>"00244636"</f>
        <v>00244636</v>
      </c>
      <c r="G4572" t="s">
        <v>1556</v>
      </c>
      <c r="H4572" t="s">
        <v>20</v>
      </c>
      <c r="I4572">
        <v>1530</v>
      </c>
      <c r="J4572" t="s">
        <v>21</v>
      </c>
      <c r="K4572">
        <v>0</v>
      </c>
      <c r="M4572">
        <v>1408</v>
      </c>
    </row>
    <row r="4573" spans="1:13">
      <c r="A4573">
        <v>4567</v>
      </c>
      <c r="B4573">
        <v>115903</v>
      </c>
      <c r="C4573" t="s">
        <v>9732</v>
      </c>
      <c r="D4573" t="s">
        <v>243</v>
      </c>
      <c r="E4573" t="s">
        <v>9733</v>
      </c>
      <c r="F4573" t="str">
        <f>"00421385"</f>
        <v>00421385</v>
      </c>
      <c r="G4573" t="s">
        <v>87</v>
      </c>
      <c r="H4573" t="s">
        <v>20</v>
      </c>
      <c r="I4573">
        <v>1436</v>
      </c>
      <c r="J4573" t="s">
        <v>21</v>
      </c>
      <c r="K4573">
        <v>0</v>
      </c>
      <c r="L4573" t="s">
        <v>112</v>
      </c>
      <c r="M4573">
        <v>800</v>
      </c>
    </row>
    <row r="4574" spans="1:13">
      <c r="A4574">
        <v>4568</v>
      </c>
      <c r="B4574">
        <v>72987</v>
      </c>
      <c r="C4574" t="s">
        <v>9734</v>
      </c>
      <c r="D4574" t="s">
        <v>105</v>
      </c>
      <c r="E4574" t="s">
        <v>9735</v>
      </c>
      <c r="F4574" t="str">
        <f>"00342195"</f>
        <v>00342195</v>
      </c>
      <c r="G4574" t="s">
        <v>9736</v>
      </c>
      <c r="H4574" t="s">
        <v>1610</v>
      </c>
      <c r="I4574">
        <v>1312</v>
      </c>
      <c r="J4574" t="s">
        <v>21</v>
      </c>
      <c r="K4574">
        <v>0</v>
      </c>
      <c r="M4574">
        <v>1718</v>
      </c>
    </row>
    <row r="4575" spans="1:13">
      <c r="A4575">
        <v>4569</v>
      </c>
      <c r="B4575">
        <v>54121</v>
      </c>
      <c r="C4575" t="s">
        <v>9737</v>
      </c>
      <c r="D4575" t="s">
        <v>76</v>
      </c>
      <c r="E4575" t="s">
        <v>9738</v>
      </c>
      <c r="F4575" t="str">
        <f>"201511014229"</f>
        <v>201511014229</v>
      </c>
      <c r="G4575" t="s">
        <v>418</v>
      </c>
      <c r="H4575" t="s">
        <v>234</v>
      </c>
      <c r="I4575">
        <v>1335</v>
      </c>
      <c r="J4575" t="s">
        <v>21</v>
      </c>
      <c r="K4575">
        <v>6</v>
      </c>
      <c r="L4575" t="s">
        <v>35</v>
      </c>
      <c r="M4575">
        <v>958</v>
      </c>
    </row>
    <row r="4576" spans="1:13">
      <c r="A4576">
        <v>4570</v>
      </c>
      <c r="B4576">
        <v>58637</v>
      </c>
      <c r="C4576" t="s">
        <v>9739</v>
      </c>
      <c r="D4576" t="s">
        <v>403</v>
      </c>
      <c r="E4576" t="s">
        <v>9740</v>
      </c>
      <c r="F4576" t="str">
        <f>"00307899"</f>
        <v>00307899</v>
      </c>
      <c r="G4576" t="s">
        <v>258</v>
      </c>
      <c r="H4576" t="s">
        <v>20</v>
      </c>
      <c r="I4576">
        <v>1484</v>
      </c>
      <c r="J4576" t="s">
        <v>21</v>
      </c>
      <c r="K4576">
        <v>0</v>
      </c>
      <c r="L4576" t="s">
        <v>401</v>
      </c>
      <c r="M4576">
        <v>1228</v>
      </c>
    </row>
    <row r="4577" spans="1:13">
      <c r="A4577">
        <v>4571</v>
      </c>
      <c r="B4577">
        <v>89854</v>
      </c>
      <c r="C4577" t="s">
        <v>9741</v>
      </c>
      <c r="D4577" t="s">
        <v>403</v>
      </c>
      <c r="E4577" t="s">
        <v>9742</v>
      </c>
      <c r="F4577" t="str">
        <f>"00370011"</f>
        <v>00370011</v>
      </c>
      <c r="G4577" t="s">
        <v>9743</v>
      </c>
      <c r="H4577" t="s">
        <v>535</v>
      </c>
      <c r="I4577">
        <v>1354</v>
      </c>
      <c r="J4577" t="s">
        <v>21</v>
      </c>
      <c r="K4577">
        <v>6</v>
      </c>
      <c r="M4577">
        <v>1328</v>
      </c>
    </row>
    <row r="4578" spans="1:13">
      <c r="A4578">
        <v>4572</v>
      </c>
      <c r="B4578">
        <v>79742</v>
      </c>
      <c r="C4578" t="s">
        <v>9744</v>
      </c>
      <c r="D4578" t="s">
        <v>218</v>
      </c>
      <c r="E4578" t="s">
        <v>9745</v>
      </c>
      <c r="F4578" t="str">
        <f>"00196595"</f>
        <v>00196595</v>
      </c>
      <c r="G4578" t="s">
        <v>721</v>
      </c>
      <c r="H4578" t="s">
        <v>20</v>
      </c>
      <c r="I4578">
        <v>1575</v>
      </c>
      <c r="J4578" t="s">
        <v>21</v>
      </c>
      <c r="K4578">
        <v>0</v>
      </c>
      <c r="L4578" t="s">
        <v>59</v>
      </c>
      <c r="M4578">
        <v>838</v>
      </c>
    </row>
    <row r="4579" spans="1:13">
      <c r="A4579">
        <v>4573</v>
      </c>
      <c r="B4579">
        <v>84436</v>
      </c>
      <c r="C4579" t="s">
        <v>9746</v>
      </c>
      <c r="D4579" t="s">
        <v>243</v>
      </c>
      <c r="E4579" t="s">
        <v>9747</v>
      </c>
      <c r="F4579" t="str">
        <f>"00381387"</f>
        <v>00381387</v>
      </c>
      <c r="G4579" t="s">
        <v>125</v>
      </c>
      <c r="H4579" t="s">
        <v>20</v>
      </c>
      <c r="I4579">
        <v>1507</v>
      </c>
      <c r="J4579" t="s">
        <v>21</v>
      </c>
      <c r="K4579">
        <v>0</v>
      </c>
      <c r="L4579" t="s">
        <v>112</v>
      </c>
      <c r="M4579">
        <v>936</v>
      </c>
    </row>
    <row r="4580" spans="1:13">
      <c r="A4580">
        <v>4574</v>
      </c>
      <c r="B4580">
        <v>64496</v>
      </c>
      <c r="C4580" t="s">
        <v>9748</v>
      </c>
      <c r="D4580" t="s">
        <v>80</v>
      </c>
      <c r="E4580" t="s">
        <v>9749</v>
      </c>
      <c r="F4580" t="str">
        <f>"201512004247"</f>
        <v>201512004247</v>
      </c>
      <c r="G4580" t="s">
        <v>856</v>
      </c>
      <c r="H4580" t="s">
        <v>366</v>
      </c>
      <c r="I4580">
        <v>1706</v>
      </c>
      <c r="J4580" t="s">
        <v>21</v>
      </c>
      <c r="K4580">
        <v>0</v>
      </c>
      <c r="L4580" t="s">
        <v>35</v>
      </c>
      <c r="M4580">
        <v>955</v>
      </c>
    </row>
    <row r="4581" spans="1:13">
      <c r="A4581">
        <v>4575</v>
      </c>
      <c r="B4581">
        <v>66460</v>
      </c>
      <c r="C4581" t="s">
        <v>9750</v>
      </c>
      <c r="D4581" t="s">
        <v>109</v>
      </c>
      <c r="E4581" t="s">
        <v>9751</v>
      </c>
      <c r="F4581" t="str">
        <f>"00398282"</f>
        <v>00398282</v>
      </c>
      <c r="G4581" t="s">
        <v>371</v>
      </c>
      <c r="H4581" t="s">
        <v>20</v>
      </c>
      <c r="I4581">
        <v>1526</v>
      </c>
      <c r="J4581" t="s">
        <v>21</v>
      </c>
      <c r="K4581">
        <v>0</v>
      </c>
      <c r="L4581" t="s">
        <v>59</v>
      </c>
      <c r="M4581">
        <v>828</v>
      </c>
    </row>
    <row r="4582" spans="1:13">
      <c r="A4582">
        <v>4576</v>
      </c>
      <c r="B4582">
        <v>49907</v>
      </c>
      <c r="C4582" t="s">
        <v>9752</v>
      </c>
      <c r="D4582" t="s">
        <v>655</v>
      </c>
      <c r="E4582" t="s">
        <v>9753</v>
      </c>
      <c r="F4582" t="str">
        <f>"00372502"</f>
        <v>00372502</v>
      </c>
      <c r="G4582" t="s">
        <v>258</v>
      </c>
      <c r="H4582" t="s">
        <v>20</v>
      </c>
      <c r="I4582">
        <v>1484</v>
      </c>
      <c r="J4582" t="s">
        <v>21</v>
      </c>
      <c r="K4582">
        <v>0</v>
      </c>
      <c r="M4582">
        <v>1538</v>
      </c>
    </row>
    <row r="4583" spans="1:13">
      <c r="A4583">
        <v>4577</v>
      </c>
      <c r="B4583">
        <v>71629</v>
      </c>
      <c r="C4583" t="s">
        <v>9754</v>
      </c>
      <c r="D4583" t="s">
        <v>180</v>
      </c>
      <c r="E4583" t="s">
        <v>9755</v>
      </c>
      <c r="F4583" t="str">
        <f>"00280013"</f>
        <v>00280013</v>
      </c>
      <c r="G4583" t="s">
        <v>985</v>
      </c>
      <c r="H4583" t="s">
        <v>20</v>
      </c>
      <c r="I4583">
        <v>1550</v>
      </c>
      <c r="J4583" t="s">
        <v>21</v>
      </c>
      <c r="K4583">
        <v>6</v>
      </c>
      <c r="M4583">
        <v>1228</v>
      </c>
    </row>
    <row r="4584" spans="1:13">
      <c r="A4584">
        <v>4578</v>
      </c>
      <c r="B4584">
        <v>56277</v>
      </c>
      <c r="C4584" t="s">
        <v>9756</v>
      </c>
      <c r="D4584" t="s">
        <v>180</v>
      </c>
      <c r="E4584" t="s">
        <v>9757</v>
      </c>
      <c r="F4584" t="str">
        <f>"00218617"</f>
        <v>00218617</v>
      </c>
      <c r="G4584" t="s">
        <v>211</v>
      </c>
      <c r="H4584" t="s">
        <v>48</v>
      </c>
      <c r="I4584">
        <v>1628</v>
      </c>
      <c r="J4584" t="s">
        <v>21</v>
      </c>
      <c r="K4584">
        <v>0</v>
      </c>
      <c r="L4584" t="s">
        <v>83</v>
      </c>
      <c r="M4584">
        <v>1258</v>
      </c>
    </row>
    <row r="4585" spans="1:13">
      <c r="A4585">
        <v>4579</v>
      </c>
      <c r="B4585">
        <v>103176</v>
      </c>
      <c r="C4585" t="s">
        <v>9758</v>
      </c>
      <c r="D4585" t="s">
        <v>76</v>
      </c>
      <c r="E4585" t="s">
        <v>9759</v>
      </c>
      <c r="F4585" t="str">
        <f>"00332583"</f>
        <v>00332583</v>
      </c>
      <c r="G4585" t="s">
        <v>258</v>
      </c>
      <c r="H4585" t="s">
        <v>20</v>
      </c>
      <c r="I4585">
        <v>1484</v>
      </c>
      <c r="J4585" t="s">
        <v>21</v>
      </c>
      <c r="K4585">
        <v>0</v>
      </c>
      <c r="L4585" t="s">
        <v>25</v>
      </c>
      <c r="M4585">
        <v>1217</v>
      </c>
    </row>
    <row r="4586" spans="1:13">
      <c r="A4586">
        <v>4580</v>
      </c>
      <c r="B4586">
        <v>66780</v>
      </c>
      <c r="C4586" t="s">
        <v>9760</v>
      </c>
      <c r="D4586" t="s">
        <v>153</v>
      </c>
      <c r="E4586" t="s">
        <v>9761</v>
      </c>
      <c r="F4586" t="str">
        <f>"00319180"</f>
        <v>00319180</v>
      </c>
      <c r="G4586" t="s">
        <v>341</v>
      </c>
      <c r="H4586" t="s">
        <v>20</v>
      </c>
      <c r="I4586">
        <v>1553</v>
      </c>
      <c r="J4586" t="s">
        <v>21</v>
      </c>
      <c r="K4586">
        <v>6</v>
      </c>
      <c r="L4586" t="s">
        <v>83</v>
      </c>
      <c r="M4586">
        <v>1228</v>
      </c>
    </row>
    <row r="4587" spans="1:13">
      <c r="A4587">
        <v>4581</v>
      </c>
      <c r="B4587">
        <v>57234</v>
      </c>
      <c r="C4587" t="s">
        <v>9762</v>
      </c>
      <c r="D4587" t="s">
        <v>205</v>
      </c>
      <c r="E4587" t="s">
        <v>9763</v>
      </c>
      <c r="F4587" t="str">
        <f>"201511043572"</f>
        <v>201511043572</v>
      </c>
      <c r="G4587" t="s">
        <v>365</v>
      </c>
      <c r="H4587" t="s">
        <v>366</v>
      </c>
      <c r="I4587">
        <v>1692</v>
      </c>
      <c r="J4587" t="s">
        <v>21</v>
      </c>
      <c r="K4587">
        <v>0</v>
      </c>
      <c r="L4587" t="s">
        <v>35</v>
      </c>
      <c r="M4587">
        <v>1050</v>
      </c>
    </row>
    <row r="4588" spans="1:13">
      <c r="A4588">
        <v>4582</v>
      </c>
      <c r="B4588">
        <v>100587</v>
      </c>
      <c r="C4588" t="s">
        <v>9764</v>
      </c>
      <c r="D4588" t="s">
        <v>628</v>
      </c>
      <c r="E4588" t="s">
        <v>9765</v>
      </c>
      <c r="F4588" t="str">
        <f>"00406014"</f>
        <v>00406014</v>
      </c>
      <c r="G4588" t="s">
        <v>437</v>
      </c>
      <c r="H4588" t="s">
        <v>5383</v>
      </c>
      <c r="I4588">
        <v>1679</v>
      </c>
      <c r="J4588" t="s">
        <v>21</v>
      </c>
      <c r="K4588">
        <v>0</v>
      </c>
      <c r="L4588" t="s">
        <v>35</v>
      </c>
      <c r="M4588">
        <v>1108</v>
      </c>
    </row>
    <row r="4589" spans="1:13">
      <c r="A4589">
        <v>4583</v>
      </c>
      <c r="B4589">
        <v>103500</v>
      </c>
      <c r="C4589" t="s">
        <v>9766</v>
      </c>
      <c r="D4589" t="s">
        <v>163</v>
      </c>
      <c r="E4589" t="s">
        <v>9767</v>
      </c>
      <c r="F4589" t="str">
        <f>"00319496"</f>
        <v>00319496</v>
      </c>
      <c r="G4589" t="s">
        <v>278</v>
      </c>
      <c r="H4589" t="s">
        <v>1499</v>
      </c>
      <c r="I4589">
        <v>1597</v>
      </c>
      <c r="J4589" t="s">
        <v>21</v>
      </c>
      <c r="K4589">
        <v>0</v>
      </c>
      <c r="L4589" t="s">
        <v>35</v>
      </c>
      <c r="M4589">
        <v>986</v>
      </c>
    </row>
    <row r="4590" spans="1:13">
      <c r="A4590">
        <v>4584</v>
      </c>
      <c r="B4590">
        <v>93903</v>
      </c>
      <c r="C4590" t="s">
        <v>9768</v>
      </c>
      <c r="D4590" t="s">
        <v>243</v>
      </c>
      <c r="E4590" t="s">
        <v>9769</v>
      </c>
      <c r="F4590" t="str">
        <f>"00382158"</f>
        <v>00382158</v>
      </c>
      <c r="G4590" t="s">
        <v>2710</v>
      </c>
      <c r="H4590" t="s">
        <v>366</v>
      </c>
      <c r="I4590">
        <v>1691</v>
      </c>
      <c r="J4590" t="s">
        <v>21</v>
      </c>
      <c r="K4590">
        <v>0</v>
      </c>
      <c r="M4590">
        <v>1328</v>
      </c>
    </row>
    <row r="4591" spans="1:13">
      <c r="A4591">
        <v>4585</v>
      </c>
      <c r="B4591">
        <v>107616</v>
      </c>
      <c r="C4591" t="s">
        <v>9770</v>
      </c>
      <c r="D4591" t="s">
        <v>145</v>
      </c>
      <c r="E4591" t="s">
        <v>9771</v>
      </c>
      <c r="F4591" t="str">
        <f>"00407389"</f>
        <v>00407389</v>
      </c>
      <c r="G4591" t="s">
        <v>226</v>
      </c>
      <c r="H4591" t="s">
        <v>20</v>
      </c>
      <c r="I4591">
        <v>1510</v>
      </c>
      <c r="J4591" t="s">
        <v>21</v>
      </c>
      <c r="K4591">
        <v>0</v>
      </c>
      <c r="L4591" t="s">
        <v>35</v>
      </c>
      <c r="M4591">
        <v>850</v>
      </c>
    </row>
    <row r="4592" spans="1:13">
      <c r="A4592">
        <v>4586</v>
      </c>
      <c r="B4592">
        <v>64243</v>
      </c>
      <c r="C4592" t="s">
        <v>9772</v>
      </c>
      <c r="D4592" t="s">
        <v>6098</v>
      </c>
      <c r="E4592" t="s">
        <v>9773</v>
      </c>
      <c r="F4592" t="str">
        <f>"00355837"</f>
        <v>00355837</v>
      </c>
      <c r="G4592" t="s">
        <v>1321</v>
      </c>
      <c r="H4592" t="s">
        <v>234</v>
      </c>
      <c r="I4592">
        <v>1330</v>
      </c>
      <c r="J4592" t="s">
        <v>21</v>
      </c>
      <c r="K4592">
        <v>0</v>
      </c>
      <c r="M4592">
        <v>1668</v>
      </c>
    </row>
    <row r="4593" spans="1:13">
      <c r="A4593">
        <v>4587</v>
      </c>
      <c r="B4593">
        <v>65825</v>
      </c>
      <c r="C4593" t="s">
        <v>9774</v>
      </c>
      <c r="D4593" t="s">
        <v>105</v>
      </c>
      <c r="E4593" t="s">
        <v>9775</v>
      </c>
      <c r="F4593" t="str">
        <f>"00257624"</f>
        <v>00257624</v>
      </c>
      <c r="G4593" t="s">
        <v>531</v>
      </c>
      <c r="H4593" t="s">
        <v>20</v>
      </c>
      <c r="I4593">
        <v>1445</v>
      </c>
      <c r="J4593" t="s">
        <v>21</v>
      </c>
      <c r="K4593">
        <v>0</v>
      </c>
      <c r="M4593">
        <v>1488</v>
      </c>
    </row>
    <row r="4594" spans="1:13">
      <c r="A4594">
        <v>4588</v>
      </c>
      <c r="B4594">
        <v>106158</v>
      </c>
      <c r="C4594" t="s">
        <v>9776</v>
      </c>
      <c r="D4594" t="s">
        <v>90</v>
      </c>
      <c r="E4594" t="s">
        <v>9777</v>
      </c>
      <c r="F4594" t="str">
        <f>"00358898"</f>
        <v>00358898</v>
      </c>
      <c r="G4594" t="s">
        <v>47</v>
      </c>
      <c r="H4594" t="s">
        <v>48</v>
      </c>
      <c r="I4594">
        <v>1623</v>
      </c>
      <c r="J4594" t="s">
        <v>21</v>
      </c>
      <c r="K4594">
        <v>0</v>
      </c>
      <c r="L4594" t="s">
        <v>35</v>
      </c>
      <c r="M4594">
        <v>870</v>
      </c>
    </row>
    <row r="4595" spans="1:13">
      <c r="A4595">
        <v>4589</v>
      </c>
      <c r="B4595">
        <v>75305</v>
      </c>
      <c r="C4595" t="s">
        <v>9778</v>
      </c>
      <c r="D4595" t="s">
        <v>334</v>
      </c>
      <c r="E4595" t="s">
        <v>9779</v>
      </c>
      <c r="F4595" t="str">
        <f>"00177004"</f>
        <v>00177004</v>
      </c>
      <c r="G4595" t="s">
        <v>100</v>
      </c>
      <c r="H4595" t="s">
        <v>20</v>
      </c>
      <c r="I4595">
        <v>1468</v>
      </c>
      <c r="J4595" t="s">
        <v>21</v>
      </c>
      <c r="K4595">
        <v>0</v>
      </c>
      <c r="L4595" t="s">
        <v>35</v>
      </c>
      <c r="M4595">
        <v>1300</v>
      </c>
    </row>
    <row r="4596" spans="1:13">
      <c r="A4596">
        <v>4590</v>
      </c>
      <c r="B4596">
        <v>83949</v>
      </c>
      <c r="C4596" t="s">
        <v>9780</v>
      </c>
      <c r="D4596" t="s">
        <v>198</v>
      </c>
      <c r="E4596" t="s">
        <v>9781</v>
      </c>
      <c r="F4596" t="str">
        <f>"00250492"</f>
        <v>00250492</v>
      </c>
      <c r="G4596" t="s">
        <v>67</v>
      </c>
      <c r="H4596" t="s">
        <v>20</v>
      </c>
      <c r="I4596">
        <v>1434</v>
      </c>
      <c r="J4596" t="s">
        <v>21</v>
      </c>
      <c r="K4596">
        <v>0</v>
      </c>
      <c r="M4596">
        <v>1528</v>
      </c>
    </row>
    <row r="4597" spans="1:13">
      <c r="A4597">
        <v>4591</v>
      </c>
      <c r="B4597">
        <v>101128</v>
      </c>
      <c r="C4597" t="s">
        <v>9782</v>
      </c>
      <c r="D4597" t="s">
        <v>213</v>
      </c>
      <c r="E4597" t="s">
        <v>9783</v>
      </c>
      <c r="F4597" t="str">
        <f>"00370392"</f>
        <v>00370392</v>
      </c>
      <c r="G4597" t="s">
        <v>358</v>
      </c>
      <c r="H4597" t="s">
        <v>20</v>
      </c>
      <c r="I4597">
        <v>1549</v>
      </c>
      <c r="J4597" t="s">
        <v>21</v>
      </c>
      <c r="K4597">
        <v>0</v>
      </c>
      <c r="L4597" t="s">
        <v>35</v>
      </c>
      <c r="M4597">
        <v>911</v>
      </c>
    </row>
    <row r="4598" spans="1:13">
      <c r="A4598">
        <v>4592</v>
      </c>
      <c r="B4598">
        <v>116737</v>
      </c>
      <c r="C4598" t="s">
        <v>9784</v>
      </c>
      <c r="D4598" t="s">
        <v>811</v>
      </c>
      <c r="E4598" t="s">
        <v>9785</v>
      </c>
      <c r="F4598" t="str">
        <f>"00196301"</f>
        <v>00196301</v>
      </c>
      <c r="G4598" t="s">
        <v>9146</v>
      </c>
      <c r="H4598" t="s">
        <v>20</v>
      </c>
      <c r="I4598">
        <v>1514</v>
      </c>
      <c r="J4598" t="s">
        <v>21</v>
      </c>
      <c r="K4598">
        <v>6</v>
      </c>
      <c r="L4598" t="s">
        <v>35</v>
      </c>
      <c r="M4598">
        <v>800</v>
      </c>
    </row>
    <row r="4599" spans="1:13">
      <c r="A4599">
        <v>4593</v>
      </c>
      <c r="B4599">
        <v>55819</v>
      </c>
      <c r="C4599" t="s">
        <v>9786</v>
      </c>
      <c r="D4599" t="s">
        <v>180</v>
      </c>
      <c r="E4599" t="s">
        <v>9787</v>
      </c>
      <c r="F4599" t="str">
        <f>"00358396"</f>
        <v>00358396</v>
      </c>
      <c r="G4599" t="s">
        <v>52</v>
      </c>
      <c r="H4599" t="s">
        <v>20</v>
      </c>
      <c r="I4599">
        <v>1503</v>
      </c>
      <c r="J4599" t="s">
        <v>21</v>
      </c>
      <c r="K4599">
        <v>0</v>
      </c>
      <c r="L4599" t="s">
        <v>35</v>
      </c>
      <c r="M4599">
        <v>1008</v>
      </c>
    </row>
    <row r="4600" spans="1:13">
      <c r="A4600">
        <v>4594</v>
      </c>
      <c r="B4600">
        <v>60652</v>
      </c>
      <c r="C4600" t="s">
        <v>9788</v>
      </c>
      <c r="D4600" t="s">
        <v>3780</v>
      </c>
      <c r="E4600" t="s">
        <v>9789</v>
      </c>
      <c r="F4600" t="str">
        <f>"00262227"</f>
        <v>00262227</v>
      </c>
      <c r="G4600" t="s">
        <v>47</v>
      </c>
      <c r="H4600" t="s">
        <v>48</v>
      </c>
      <c r="I4600">
        <v>1623</v>
      </c>
      <c r="J4600" t="s">
        <v>21</v>
      </c>
      <c r="K4600">
        <v>0</v>
      </c>
      <c r="M4600">
        <v>1328</v>
      </c>
    </row>
    <row r="4601" spans="1:13">
      <c r="A4601">
        <v>4595</v>
      </c>
      <c r="B4601">
        <v>53406</v>
      </c>
      <c r="C4601" t="s">
        <v>9790</v>
      </c>
      <c r="D4601" t="s">
        <v>218</v>
      </c>
      <c r="E4601" t="s">
        <v>9791</v>
      </c>
      <c r="F4601" t="str">
        <f>"00355359"</f>
        <v>00355359</v>
      </c>
      <c r="G4601" t="s">
        <v>1125</v>
      </c>
      <c r="H4601" t="s">
        <v>20</v>
      </c>
      <c r="I4601">
        <v>1431</v>
      </c>
      <c r="J4601" t="s">
        <v>21</v>
      </c>
      <c r="K4601">
        <v>0</v>
      </c>
      <c r="L4601" t="s">
        <v>35</v>
      </c>
      <c r="M4601">
        <v>1023</v>
      </c>
    </row>
    <row r="4602" spans="1:13">
      <c r="A4602">
        <v>4596</v>
      </c>
      <c r="B4602">
        <v>113888</v>
      </c>
      <c r="C4602" t="s">
        <v>9792</v>
      </c>
      <c r="D4602" t="s">
        <v>153</v>
      </c>
      <c r="E4602" t="s">
        <v>9793</v>
      </c>
      <c r="F4602" t="str">
        <f>"00390267"</f>
        <v>00390267</v>
      </c>
      <c r="G4602" t="s">
        <v>737</v>
      </c>
      <c r="H4602" t="s">
        <v>20</v>
      </c>
      <c r="I4602">
        <v>1564</v>
      </c>
      <c r="J4602" t="s">
        <v>21</v>
      </c>
      <c r="K4602">
        <v>6</v>
      </c>
      <c r="M4602">
        <v>1238</v>
      </c>
    </row>
    <row r="4603" spans="1:13">
      <c r="A4603">
        <v>4597</v>
      </c>
      <c r="B4603">
        <v>75297</v>
      </c>
      <c r="C4603" t="s">
        <v>9794</v>
      </c>
      <c r="D4603" t="s">
        <v>243</v>
      </c>
      <c r="E4603" t="s">
        <v>9795</v>
      </c>
      <c r="F4603" t="str">
        <f>"00222395"</f>
        <v>00222395</v>
      </c>
      <c r="G4603" t="s">
        <v>107</v>
      </c>
      <c r="H4603" t="s">
        <v>20</v>
      </c>
      <c r="I4603">
        <v>1472</v>
      </c>
      <c r="J4603" t="s">
        <v>21</v>
      </c>
      <c r="K4603">
        <v>0</v>
      </c>
      <c r="L4603" t="s">
        <v>35</v>
      </c>
      <c r="M4603">
        <v>958</v>
      </c>
    </row>
    <row r="4604" spans="1:13">
      <c r="A4604">
        <v>4598</v>
      </c>
      <c r="B4604">
        <v>91980</v>
      </c>
      <c r="C4604" t="s">
        <v>9796</v>
      </c>
      <c r="D4604" t="s">
        <v>80</v>
      </c>
      <c r="E4604" t="s">
        <v>9797</v>
      </c>
      <c r="F4604" t="str">
        <f>"201511016189"</f>
        <v>201511016189</v>
      </c>
      <c r="G4604" t="s">
        <v>3425</v>
      </c>
      <c r="H4604" t="s">
        <v>20</v>
      </c>
      <c r="I4604">
        <v>1453</v>
      </c>
      <c r="J4604" t="s">
        <v>21</v>
      </c>
      <c r="K4604">
        <v>0</v>
      </c>
      <c r="L4604" t="s">
        <v>35</v>
      </c>
      <c r="M4604">
        <v>908</v>
      </c>
    </row>
    <row r="4605" spans="1:13">
      <c r="A4605">
        <v>4599</v>
      </c>
      <c r="B4605">
        <v>79723</v>
      </c>
      <c r="C4605" t="s">
        <v>9798</v>
      </c>
      <c r="D4605" t="s">
        <v>80</v>
      </c>
      <c r="E4605" t="s">
        <v>9799</v>
      </c>
      <c r="F4605" t="str">
        <f>"00404991"</f>
        <v>00404991</v>
      </c>
      <c r="G4605" t="s">
        <v>4452</v>
      </c>
      <c r="H4605" t="s">
        <v>274</v>
      </c>
      <c r="I4605">
        <v>1393</v>
      </c>
      <c r="J4605" t="s">
        <v>21</v>
      </c>
      <c r="K4605">
        <v>0</v>
      </c>
      <c r="L4605" t="s">
        <v>35</v>
      </c>
      <c r="M4605">
        <v>1458</v>
      </c>
    </row>
    <row r="4606" spans="1:13">
      <c r="A4606">
        <v>4600</v>
      </c>
      <c r="B4606">
        <v>73920</v>
      </c>
      <c r="C4606" t="s">
        <v>9800</v>
      </c>
      <c r="D4606" t="s">
        <v>105</v>
      </c>
      <c r="E4606" t="s">
        <v>9801</v>
      </c>
      <c r="F4606" t="str">
        <f>"00378601"</f>
        <v>00378601</v>
      </c>
      <c r="G4606" t="s">
        <v>245</v>
      </c>
      <c r="H4606" t="s">
        <v>20</v>
      </c>
      <c r="I4606">
        <v>1406</v>
      </c>
      <c r="J4606" t="s">
        <v>21</v>
      </c>
      <c r="K4606">
        <v>0</v>
      </c>
      <c r="L4606" t="s">
        <v>59</v>
      </c>
      <c r="M4606">
        <v>988</v>
      </c>
    </row>
    <row r="4607" spans="1:13">
      <c r="A4607">
        <v>4601</v>
      </c>
      <c r="B4607">
        <v>110017</v>
      </c>
      <c r="C4607" t="s">
        <v>9802</v>
      </c>
      <c r="D4607" t="s">
        <v>80</v>
      </c>
      <c r="E4607" t="s">
        <v>9803</v>
      </c>
      <c r="F4607" t="str">
        <f>"00411152"</f>
        <v>00411152</v>
      </c>
      <c r="G4607" t="s">
        <v>226</v>
      </c>
      <c r="H4607" t="s">
        <v>20</v>
      </c>
      <c r="I4607">
        <v>1510</v>
      </c>
      <c r="J4607" t="s">
        <v>21</v>
      </c>
      <c r="K4607">
        <v>0</v>
      </c>
      <c r="L4607" t="s">
        <v>83</v>
      </c>
      <c r="M4607">
        <v>1308</v>
      </c>
    </row>
    <row r="4608" spans="1:13">
      <c r="A4608">
        <v>4602</v>
      </c>
      <c r="B4608">
        <v>64588</v>
      </c>
      <c r="C4608" t="s">
        <v>9804</v>
      </c>
      <c r="D4608" t="s">
        <v>243</v>
      </c>
      <c r="E4608" t="s">
        <v>9805</v>
      </c>
      <c r="F4608" t="str">
        <f>"00364500"</f>
        <v>00364500</v>
      </c>
      <c r="G4608" t="s">
        <v>258</v>
      </c>
      <c r="H4608" t="s">
        <v>20</v>
      </c>
      <c r="I4608">
        <v>1484</v>
      </c>
      <c r="J4608" t="s">
        <v>21</v>
      </c>
      <c r="K4608">
        <v>0</v>
      </c>
      <c r="L4608" t="s">
        <v>88</v>
      </c>
      <c r="M4608">
        <v>519</v>
      </c>
    </row>
    <row r="4609" spans="1:13">
      <c r="A4609">
        <v>4603</v>
      </c>
      <c r="B4609">
        <v>47827</v>
      </c>
      <c r="C4609" t="s">
        <v>9806</v>
      </c>
      <c r="D4609" t="s">
        <v>598</v>
      </c>
      <c r="E4609" t="s">
        <v>9807</v>
      </c>
      <c r="F4609" t="str">
        <f>"201604000683"</f>
        <v>201604000683</v>
      </c>
      <c r="G4609" t="s">
        <v>1074</v>
      </c>
      <c r="H4609" t="s">
        <v>48</v>
      </c>
      <c r="I4609">
        <v>1627</v>
      </c>
      <c r="J4609" t="s">
        <v>21</v>
      </c>
      <c r="K4609">
        <v>6</v>
      </c>
      <c r="L4609" t="s">
        <v>35</v>
      </c>
      <c r="M4609">
        <v>600</v>
      </c>
    </row>
    <row r="4610" spans="1:13">
      <c r="A4610">
        <v>4604</v>
      </c>
      <c r="B4610">
        <v>80285</v>
      </c>
      <c r="C4610" t="s">
        <v>9808</v>
      </c>
      <c r="D4610" t="s">
        <v>153</v>
      </c>
      <c r="E4610" t="s">
        <v>9809</v>
      </c>
      <c r="F4610" t="str">
        <f>"201001000337"</f>
        <v>201001000337</v>
      </c>
      <c r="G4610" t="s">
        <v>1682</v>
      </c>
      <c r="H4610" t="s">
        <v>241</v>
      </c>
      <c r="I4610">
        <v>1363</v>
      </c>
      <c r="J4610" t="s">
        <v>21</v>
      </c>
      <c r="K4610">
        <v>0</v>
      </c>
      <c r="L4610" t="s">
        <v>35</v>
      </c>
      <c r="M4610">
        <v>1108</v>
      </c>
    </row>
    <row r="4611" spans="1:13">
      <c r="A4611">
        <v>4605</v>
      </c>
      <c r="B4611">
        <v>108409</v>
      </c>
      <c r="C4611" t="s">
        <v>9810</v>
      </c>
      <c r="D4611" t="s">
        <v>260</v>
      </c>
      <c r="E4611" t="s">
        <v>9811</v>
      </c>
      <c r="F4611" t="str">
        <f>"00247530"</f>
        <v>00247530</v>
      </c>
      <c r="G4611" t="s">
        <v>67</v>
      </c>
      <c r="H4611" t="s">
        <v>20</v>
      </c>
      <c r="I4611">
        <v>1434</v>
      </c>
      <c r="J4611" t="s">
        <v>21</v>
      </c>
      <c r="K4611">
        <v>0</v>
      </c>
      <c r="L4611" t="s">
        <v>88</v>
      </c>
      <c r="M4611">
        <v>550</v>
      </c>
    </row>
    <row r="4612" spans="1:13">
      <c r="A4612">
        <v>4606</v>
      </c>
      <c r="B4612">
        <v>76642</v>
      </c>
      <c r="C4612" t="s">
        <v>9812</v>
      </c>
      <c r="D4612" t="s">
        <v>180</v>
      </c>
      <c r="E4612" t="s">
        <v>9813</v>
      </c>
      <c r="F4612" t="str">
        <f>"00360495"</f>
        <v>00360495</v>
      </c>
      <c r="G4612" t="s">
        <v>395</v>
      </c>
      <c r="H4612" t="s">
        <v>234</v>
      </c>
      <c r="I4612">
        <v>1336</v>
      </c>
      <c r="J4612" t="s">
        <v>21</v>
      </c>
      <c r="K4612">
        <v>0</v>
      </c>
      <c r="M4612">
        <v>1388</v>
      </c>
    </row>
    <row r="4613" spans="1:13">
      <c r="A4613">
        <v>4607</v>
      </c>
      <c r="B4613">
        <v>51597</v>
      </c>
      <c r="C4613" t="s">
        <v>9814</v>
      </c>
      <c r="D4613" t="s">
        <v>121</v>
      </c>
      <c r="E4613" t="s">
        <v>9815</v>
      </c>
      <c r="F4613" t="str">
        <f>"00043130"</f>
        <v>00043130</v>
      </c>
      <c r="G4613" t="s">
        <v>38</v>
      </c>
      <c r="H4613" t="s">
        <v>39</v>
      </c>
      <c r="I4613">
        <v>1634</v>
      </c>
      <c r="J4613" t="s">
        <v>21</v>
      </c>
      <c r="K4613">
        <v>6</v>
      </c>
      <c r="L4613" t="s">
        <v>83</v>
      </c>
      <c r="M4613">
        <v>888</v>
      </c>
    </row>
    <row r="4614" spans="1:13">
      <c r="A4614">
        <v>4608</v>
      </c>
      <c r="B4614">
        <v>48821</v>
      </c>
      <c r="C4614" t="s">
        <v>9816</v>
      </c>
      <c r="D4614" t="s">
        <v>102</v>
      </c>
      <c r="E4614" t="s">
        <v>9817</v>
      </c>
      <c r="F4614" t="str">
        <f>"00367809"</f>
        <v>00367809</v>
      </c>
      <c r="G4614" t="s">
        <v>709</v>
      </c>
      <c r="H4614" t="s">
        <v>20</v>
      </c>
      <c r="I4614">
        <v>1413</v>
      </c>
      <c r="J4614" t="s">
        <v>21</v>
      </c>
      <c r="K4614">
        <v>0</v>
      </c>
      <c r="M4614">
        <v>1486</v>
      </c>
    </row>
    <row r="4615" spans="1:13">
      <c r="A4615">
        <v>4609</v>
      </c>
      <c r="B4615">
        <v>81497</v>
      </c>
      <c r="C4615" t="s">
        <v>9818</v>
      </c>
      <c r="D4615" t="s">
        <v>76</v>
      </c>
      <c r="E4615" t="s">
        <v>9819</v>
      </c>
      <c r="F4615" t="str">
        <f>"00265869"</f>
        <v>00265869</v>
      </c>
      <c r="G4615" t="s">
        <v>332</v>
      </c>
      <c r="H4615" t="s">
        <v>274</v>
      </c>
      <c r="I4615">
        <v>1389</v>
      </c>
      <c r="J4615" t="s">
        <v>21</v>
      </c>
      <c r="K4615">
        <v>6</v>
      </c>
      <c r="M4615">
        <v>1788</v>
      </c>
    </row>
    <row r="4616" spans="1:13">
      <c r="A4616">
        <v>4610</v>
      </c>
      <c r="B4616">
        <v>64652</v>
      </c>
      <c r="C4616" t="s">
        <v>9820</v>
      </c>
      <c r="D4616" t="s">
        <v>1492</v>
      </c>
      <c r="E4616" t="s">
        <v>9821</v>
      </c>
      <c r="F4616" t="str">
        <f>"00366712"</f>
        <v>00366712</v>
      </c>
      <c r="G4616" t="s">
        <v>111</v>
      </c>
      <c r="H4616" t="s">
        <v>48</v>
      </c>
      <c r="I4616">
        <v>1620</v>
      </c>
      <c r="J4616" t="s">
        <v>21</v>
      </c>
      <c r="K4616">
        <v>0</v>
      </c>
      <c r="L4616" t="s">
        <v>83</v>
      </c>
      <c r="M4616">
        <v>1228</v>
      </c>
    </row>
    <row r="4617" spans="1:13">
      <c r="A4617">
        <v>4611</v>
      </c>
      <c r="B4617">
        <v>102407</v>
      </c>
      <c r="C4617" t="s">
        <v>9822</v>
      </c>
      <c r="D4617" t="s">
        <v>218</v>
      </c>
      <c r="E4617" t="s">
        <v>9823</v>
      </c>
      <c r="F4617" t="str">
        <f>"00230151"</f>
        <v>00230151</v>
      </c>
      <c r="G4617" t="s">
        <v>3280</v>
      </c>
      <c r="H4617" t="s">
        <v>20</v>
      </c>
      <c r="I4617">
        <v>1557</v>
      </c>
      <c r="J4617" t="s">
        <v>21</v>
      </c>
      <c r="K4617">
        <v>6</v>
      </c>
      <c r="L4617" t="s">
        <v>35</v>
      </c>
      <c r="M4617">
        <v>1150</v>
      </c>
    </row>
    <row r="4618" spans="1:13">
      <c r="A4618">
        <v>4612</v>
      </c>
      <c r="B4618">
        <v>95971</v>
      </c>
      <c r="C4618" t="s">
        <v>9824</v>
      </c>
      <c r="D4618" t="s">
        <v>85</v>
      </c>
      <c r="E4618" t="s">
        <v>9825</v>
      </c>
      <c r="F4618" t="str">
        <f>"00364382"</f>
        <v>00364382</v>
      </c>
      <c r="G4618" t="s">
        <v>258</v>
      </c>
      <c r="H4618" t="s">
        <v>20</v>
      </c>
      <c r="I4618">
        <v>1484</v>
      </c>
      <c r="J4618" t="s">
        <v>21</v>
      </c>
      <c r="K4618">
        <v>0</v>
      </c>
      <c r="M4618">
        <v>1528</v>
      </c>
    </row>
    <row r="4619" spans="1:13">
      <c r="A4619">
        <v>4613</v>
      </c>
      <c r="B4619">
        <v>51590</v>
      </c>
      <c r="C4619" t="s">
        <v>9826</v>
      </c>
      <c r="D4619" t="s">
        <v>90</v>
      </c>
      <c r="E4619" t="s">
        <v>9827</v>
      </c>
      <c r="F4619" t="str">
        <f>"00050044"</f>
        <v>00050044</v>
      </c>
      <c r="G4619" t="s">
        <v>258</v>
      </c>
      <c r="H4619" t="s">
        <v>20</v>
      </c>
      <c r="I4619">
        <v>1484</v>
      </c>
      <c r="J4619" t="s">
        <v>21</v>
      </c>
      <c r="K4619">
        <v>0</v>
      </c>
      <c r="M4619">
        <v>1288</v>
      </c>
    </row>
    <row r="4620" spans="1:13">
      <c r="A4620">
        <v>4614</v>
      </c>
      <c r="B4620">
        <v>55816</v>
      </c>
      <c r="C4620" t="s">
        <v>9828</v>
      </c>
      <c r="D4620" t="s">
        <v>102</v>
      </c>
      <c r="E4620" t="s">
        <v>9829</v>
      </c>
      <c r="F4620" t="str">
        <f>"00301070"</f>
        <v>00301070</v>
      </c>
      <c r="G4620" t="s">
        <v>87</v>
      </c>
      <c r="H4620" t="s">
        <v>857</v>
      </c>
      <c r="I4620">
        <v>1657</v>
      </c>
      <c r="J4620" t="s">
        <v>21</v>
      </c>
      <c r="K4620">
        <v>0</v>
      </c>
      <c r="M4620">
        <v>1578</v>
      </c>
    </row>
    <row r="4621" spans="1:13">
      <c r="A4621">
        <v>4615</v>
      </c>
      <c r="B4621">
        <v>81407</v>
      </c>
      <c r="C4621" t="s">
        <v>9830</v>
      </c>
      <c r="D4621" t="s">
        <v>80</v>
      </c>
      <c r="E4621" t="s">
        <v>9831</v>
      </c>
      <c r="F4621" t="str">
        <f>"00276719"</f>
        <v>00276719</v>
      </c>
      <c r="G4621" t="s">
        <v>107</v>
      </c>
      <c r="H4621" t="s">
        <v>20</v>
      </c>
      <c r="I4621">
        <v>1472</v>
      </c>
      <c r="J4621" t="s">
        <v>21</v>
      </c>
      <c r="K4621">
        <v>0</v>
      </c>
      <c r="M4621">
        <v>1528</v>
      </c>
    </row>
    <row r="4622" spans="1:13">
      <c r="A4622">
        <v>4616</v>
      </c>
      <c r="B4622">
        <v>89296</v>
      </c>
      <c r="C4622" t="s">
        <v>9832</v>
      </c>
      <c r="D4622" t="s">
        <v>76</v>
      </c>
      <c r="E4622" t="s">
        <v>9833</v>
      </c>
      <c r="F4622" t="str">
        <f>"00378536"</f>
        <v>00378536</v>
      </c>
      <c r="G4622" t="s">
        <v>1653</v>
      </c>
      <c r="H4622" t="s">
        <v>20</v>
      </c>
      <c r="I4622">
        <v>1573</v>
      </c>
      <c r="J4622" t="s">
        <v>21</v>
      </c>
      <c r="K4622">
        <v>0</v>
      </c>
      <c r="M4622">
        <v>1628</v>
      </c>
    </row>
    <row r="4623" spans="1:13">
      <c r="A4623">
        <v>4617</v>
      </c>
      <c r="B4623">
        <v>92190</v>
      </c>
      <c r="C4623" t="s">
        <v>9834</v>
      </c>
      <c r="D4623" t="s">
        <v>198</v>
      </c>
      <c r="E4623" t="s">
        <v>9835</v>
      </c>
      <c r="F4623" t="str">
        <f>"00373586"</f>
        <v>00373586</v>
      </c>
      <c r="G4623" t="s">
        <v>211</v>
      </c>
      <c r="H4623" t="s">
        <v>48</v>
      </c>
      <c r="I4623">
        <v>1628</v>
      </c>
      <c r="J4623" t="s">
        <v>21</v>
      </c>
      <c r="K4623">
        <v>0</v>
      </c>
      <c r="M4623">
        <v>1338</v>
      </c>
    </row>
    <row r="4624" spans="1:13">
      <c r="A4624">
        <v>4618</v>
      </c>
      <c r="B4624">
        <v>55958</v>
      </c>
      <c r="C4624" t="s">
        <v>9836</v>
      </c>
      <c r="D4624" t="s">
        <v>218</v>
      </c>
      <c r="E4624" t="s">
        <v>9837</v>
      </c>
      <c r="F4624" t="str">
        <f>"00307290"</f>
        <v>00307290</v>
      </c>
      <c r="G4624" t="s">
        <v>87</v>
      </c>
      <c r="H4624" t="s">
        <v>20</v>
      </c>
      <c r="I4624">
        <v>1436</v>
      </c>
      <c r="J4624" t="s">
        <v>21</v>
      </c>
      <c r="K4624">
        <v>0</v>
      </c>
      <c r="L4624" t="s">
        <v>35</v>
      </c>
      <c r="M4624">
        <v>875</v>
      </c>
    </row>
    <row r="4625" spans="1:13">
      <c r="A4625">
        <v>4619</v>
      </c>
      <c r="B4625">
        <v>96510</v>
      </c>
      <c r="C4625" t="s">
        <v>9838</v>
      </c>
      <c r="D4625" t="s">
        <v>2021</v>
      </c>
      <c r="E4625" t="s">
        <v>9839</v>
      </c>
      <c r="F4625" t="str">
        <f>"201603000315"</f>
        <v>201603000315</v>
      </c>
      <c r="G4625" t="s">
        <v>150</v>
      </c>
      <c r="H4625" t="s">
        <v>151</v>
      </c>
      <c r="I4625">
        <v>1699</v>
      </c>
      <c r="J4625" t="s">
        <v>21</v>
      </c>
      <c r="K4625">
        <v>0</v>
      </c>
      <c r="L4625" t="s">
        <v>35</v>
      </c>
      <c r="M4625">
        <v>858</v>
      </c>
    </row>
    <row r="4626" spans="1:13">
      <c r="A4626">
        <v>4620</v>
      </c>
      <c r="B4626">
        <v>114814</v>
      </c>
      <c r="C4626" t="s">
        <v>9840</v>
      </c>
      <c r="D4626" t="s">
        <v>557</v>
      </c>
      <c r="E4626" t="s">
        <v>9841</v>
      </c>
      <c r="F4626" t="str">
        <f>"00374532"</f>
        <v>00374532</v>
      </c>
      <c r="G4626" t="s">
        <v>1155</v>
      </c>
      <c r="H4626" t="s">
        <v>20</v>
      </c>
      <c r="I4626">
        <v>1480</v>
      </c>
      <c r="J4626" t="s">
        <v>21</v>
      </c>
      <c r="K4626">
        <v>0</v>
      </c>
      <c r="L4626" t="s">
        <v>59</v>
      </c>
      <c r="M4626">
        <v>1040</v>
      </c>
    </row>
    <row r="4627" spans="1:13">
      <c r="A4627">
        <v>4621</v>
      </c>
      <c r="B4627">
        <v>110658</v>
      </c>
      <c r="C4627" t="s">
        <v>9842</v>
      </c>
      <c r="D4627" t="s">
        <v>218</v>
      </c>
      <c r="E4627" t="s">
        <v>9843</v>
      </c>
      <c r="F4627" t="str">
        <f>"00257388"</f>
        <v>00257388</v>
      </c>
      <c r="G4627" t="s">
        <v>125</v>
      </c>
      <c r="H4627" t="s">
        <v>20</v>
      </c>
      <c r="I4627">
        <v>1507</v>
      </c>
      <c r="J4627" t="s">
        <v>21</v>
      </c>
      <c r="K4627">
        <v>0</v>
      </c>
      <c r="M4627">
        <v>1388</v>
      </c>
    </row>
    <row r="4628" spans="1:13">
      <c r="A4628">
        <v>4622</v>
      </c>
      <c r="B4628">
        <v>73145</v>
      </c>
      <c r="C4628" t="s">
        <v>9844</v>
      </c>
      <c r="D4628" t="s">
        <v>218</v>
      </c>
      <c r="E4628" t="s">
        <v>9845</v>
      </c>
      <c r="F4628" t="str">
        <f>"00330968"</f>
        <v>00330968</v>
      </c>
      <c r="G4628" t="s">
        <v>332</v>
      </c>
      <c r="H4628" t="s">
        <v>4388</v>
      </c>
      <c r="I4628">
        <v>1656</v>
      </c>
      <c r="J4628" t="s">
        <v>21</v>
      </c>
      <c r="K4628">
        <v>6</v>
      </c>
      <c r="M4628">
        <v>1788</v>
      </c>
    </row>
    <row r="4629" spans="1:13">
      <c r="A4629">
        <v>4623</v>
      </c>
      <c r="B4629">
        <v>57081</v>
      </c>
      <c r="C4629" t="s">
        <v>9846</v>
      </c>
      <c r="D4629" t="s">
        <v>180</v>
      </c>
      <c r="E4629" t="s">
        <v>9847</v>
      </c>
      <c r="F4629" t="str">
        <f>"201512002353"</f>
        <v>201512002353</v>
      </c>
      <c r="G4629" t="s">
        <v>100</v>
      </c>
      <c r="H4629" t="s">
        <v>20</v>
      </c>
      <c r="I4629">
        <v>1468</v>
      </c>
      <c r="J4629" t="s">
        <v>21</v>
      </c>
      <c r="K4629">
        <v>0</v>
      </c>
      <c r="M4629">
        <v>1868</v>
      </c>
    </row>
    <row r="4630" spans="1:13">
      <c r="A4630">
        <v>4624</v>
      </c>
      <c r="B4630">
        <v>74446</v>
      </c>
      <c r="C4630" t="s">
        <v>9848</v>
      </c>
      <c r="D4630" t="s">
        <v>180</v>
      </c>
      <c r="E4630" t="s">
        <v>9849</v>
      </c>
      <c r="F4630" t="str">
        <f>"00078214"</f>
        <v>00078214</v>
      </c>
      <c r="G4630" t="s">
        <v>226</v>
      </c>
      <c r="H4630" t="s">
        <v>20</v>
      </c>
      <c r="I4630">
        <v>1510</v>
      </c>
      <c r="J4630" t="s">
        <v>21</v>
      </c>
      <c r="K4630">
        <v>0</v>
      </c>
      <c r="L4630" t="s">
        <v>35</v>
      </c>
      <c r="M4630">
        <v>825</v>
      </c>
    </row>
    <row r="4631" spans="1:13">
      <c r="A4631">
        <v>4625</v>
      </c>
      <c r="B4631">
        <v>46781</v>
      </c>
      <c r="C4631" t="s">
        <v>9850</v>
      </c>
      <c r="D4631" t="s">
        <v>566</v>
      </c>
      <c r="E4631" t="s">
        <v>9851</v>
      </c>
      <c r="F4631" t="str">
        <f>"00263336"</f>
        <v>00263336</v>
      </c>
      <c r="G4631" t="s">
        <v>713</v>
      </c>
      <c r="H4631" t="s">
        <v>366</v>
      </c>
      <c r="I4631">
        <v>1690</v>
      </c>
      <c r="J4631" t="s">
        <v>21</v>
      </c>
      <c r="K4631">
        <v>0</v>
      </c>
      <c r="L4631" t="s">
        <v>35</v>
      </c>
      <c r="M4631">
        <v>1108</v>
      </c>
    </row>
    <row r="4632" spans="1:13">
      <c r="A4632">
        <v>4626</v>
      </c>
      <c r="B4632">
        <v>97040</v>
      </c>
      <c r="C4632" t="s">
        <v>9852</v>
      </c>
      <c r="D4632" t="s">
        <v>566</v>
      </c>
      <c r="E4632" t="s">
        <v>9853</v>
      </c>
      <c r="F4632" t="str">
        <f>"00384840"</f>
        <v>00384840</v>
      </c>
      <c r="G4632" t="s">
        <v>713</v>
      </c>
      <c r="H4632" t="s">
        <v>366</v>
      </c>
      <c r="I4632">
        <v>1690</v>
      </c>
      <c r="J4632" t="s">
        <v>21</v>
      </c>
      <c r="K4632">
        <v>0</v>
      </c>
      <c r="L4632" t="s">
        <v>35</v>
      </c>
      <c r="M4632">
        <v>1008</v>
      </c>
    </row>
    <row r="4633" spans="1:13">
      <c r="A4633">
        <v>4627</v>
      </c>
      <c r="B4633">
        <v>116237</v>
      </c>
      <c r="C4633" t="s">
        <v>9854</v>
      </c>
      <c r="D4633" t="s">
        <v>145</v>
      </c>
      <c r="E4633" t="s">
        <v>9855</v>
      </c>
      <c r="F4633" t="str">
        <f>"00416703"</f>
        <v>00416703</v>
      </c>
      <c r="G4633" t="s">
        <v>713</v>
      </c>
      <c r="H4633" t="s">
        <v>366</v>
      </c>
      <c r="I4633">
        <v>1690</v>
      </c>
      <c r="J4633" t="s">
        <v>21</v>
      </c>
      <c r="K4633">
        <v>0</v>
      </c>
      <c r="M4633">
        <v>1488</v>
      </c>
    </row>
    <row r="4634" spans="1:13">
      <c r="A4634">
        <v>4628</v>
      </c>
      <c r="B4634">
        <v>88515</v>
      </c>
      <c r="C4634" t="s">
        <v>9856</v>
      </c>
      <c r="D4634" t="s">
        <v>700</v>
      </c>
      <c r="E4634" t="s">
        <v>9857</v>
      </c>
      <c r="F4634" t="str">
        <f>"00123913"</f>
        <v>00123913</v>
      </c>
      <c r="G4634" t="s">
        <v>1125</v>
      </c>
      <c r="H4634" t="s">
        <v>20</v>
      </c>
      <c r="I4634">
        <v>1431</v>
      </c>
      <c r="J4634" t="s">
        <v>21</v>
      </c>
      <c r="K4634">
        <v>0</v>
      </c>
      <c r="M4634">
        <v>1588</v>
      </c>
    </row>
    <row r="4635" spans="1:13">
      <c r="A4635">
        <v>4629</v>
      </c>
      <c r="B4635">
        <v>88368</v>
      </c>
      <c r="C4635" t="s">
        <v>9858</v>
      </c>
      <c r="D4635" t="s">
        <v>109</v>
      </c>
      <c r="E4635" t="s">
        <v>9859</v>
      </c>
      <c r="F4635" t="str">
        <f>"00253190"</f>
        <v>00253190</v>
      </c>
      <c r="G4635" t="s">
        <v>325</v>
      </c>
      <c r="H4635" t="s">
        <v>326</v>
      </c>
      <c r="I4635">
        <v>1592</v>
      </c>
      <c r="J4635" t="s">
        <v>21</v>
      </c>
      <c r="K4635">
        <v>0</v>
      </c>
      <c r="L4635" t="s">
        <v>88</v>
      </c>
      <c r="M4635">
        <v>900</v>
      </c>
    </row>
    <row r="4636" spans="1:13">
      <c r="A4636">
        <v>4630</v>
      </c>
      <c r="B4636">
        <v>104288</v>
      </c>
      <c r="C4636" t="s">
        <v>9860</v>
      </c>
      <c r="D4636" t="s">
        <v>198</v>
      </c>
      <c r="E4636" t="s">
        <v>9861</v>
      </c>
      <c r="F4636" t="str">
        <f>"00377639"</f>
        <v>00377639</v>
      </c>
      <c r="G4636" t="s">
        <v>1245</v>
      </c>
      <c r="H4636" t="s">
        <v>20</v>
      </c>
      <c r="I4636">
        <v>1527</v>
      </c>
      <c r="J4636" t="s">
        <v>21</v>
      </c>
      <c r="K4636">
        <v>0</v>
      </c>
      <c r="M4636">
        <v>1928</v>
      </c>
    </row>
    <row r="4637" spans="1:13">
      <c r="A4637">
        <v>4631</v>
      </c>
      <c r="B4637">
        <v>60418</v>
      </c>
      <c r="C4637" t="s">
        <v>9862</v>
      </c>
      <c r="D4637" t="s">
        <v>153</v>
      </c>
      <c r="E4637" t="s">
        <v>9863</v>
      </c>
      <c r="F4637" t="str">
        <f>"200907000318"</f>
        <v>200907000318</v>
      </c>
      <c r="G4637" t="s">
        <v>155</v>
      </c>
      <c r="H4637" t="s">
        <v>156</v>
      </c>
      <c r="I4637">
        <v>1342</v>
      </c>
      <c r="J4637" t="s">
        <v>21</v>
      </c>
      <c r="K4637">
        <v>0</v>
      </c>
      <c r="L4637" t="s">
        <v>59</v>
      </c>
      <c r="M4637">
        <v>1032</v>
      </c>
    </row>
    <row r="4638" spans="1:13">
      <c r="A4638">
        <v>4632</v>
      </c>
      <c r="B4638">
        <v>90110</v>
      </c>
      <c r="C4638" t="s">
        <v>9864</v>
      </c>
      <c r="D4638" t="s">
        <v>8995</v>
      </c>
      <c r="E4638" t="s">
        <v>9865</v>
      </c>
      <c r="F4638" t="str">
        <f>"00395901"</f>
        <v>00395901</v>
      </c>
      <c r="G4638" t="s">
        <v>245</v>
      </c>
      <c r="H4638" t="s">
        <v>20</v>
      </c>
      <c r="I4638">
        <v>1406</v>
      </c>
      <c r="J4638" t="s">
        <v>21</v>
      </c>
      <c r="K4638">
        <v>0</v>
      </c>
      <c r="M4638">
        <v>1628</v>
      </c>
    </row>
    <row r="4639" spans="1:13">
      <c r="A4639">
        <v>4633</v>
      </c>
      <c r="B4639">
        <v>64347</v>
      </c>
      <c r="C4639" t="s">
        <v>9866</v>
      </c>
      <c r="D4639" t="s">
        <v>9867</v>
      </c>
      <c r="E4639" t="s">
        <v>9868</v>
      </c>
      <c r="F4639" t="str">
        <f>"00356031"</f>
        <v>00356031</v>
      </c>
      <c r="G4639" t="s">
        <v>245</v>
      </c>
      <c r="H4639" t="s">
        <v>20</v>
      </c>
      <c r="I4639">
        <v>1406</v>
      </c>
      <c r="J4639" t="s">
        <v>21</v>
      </c>
      <c r="K4639">
        <v>0</v>
      </c>
      <c r="L4639" t="s">
        <v>401</v>
      </c>
      <c r="M4639">
        <v>1138</v>
      </c>
    </row>
    <row r="4640" spans="1:13">
      <c r="A4640">
        <v>4634</v>
      </c>
      <c r="B4640">
        <v>65808</v>
      </c>
      <c r="C4640" t="s">
        <v>9869</v>
      </c>
      <c r="D4640" t="s">
        <v>8995</v>
      </c>
      <c r="E4640" t="s">
        <v>9870</v>
      </c>
      <c r="F4640" t="str">
        <f>"00366779"</f>
        <v>00366779</v>
      </c>
      <c r="G4640" t="s">
        <v>47</v>
      </c>
      <c r="H4640" t="s">
        <v>48</v>
      </c>
      <c r="I4640">
        <v>1623</v>
      </c>
      <c r="J4640" t="s">
        <v>21</v>
      </c>
      <c r="K4640">
        <v>0</v>
      </c>
      <c r="L4640" t="s">
        <v>2999</v>
      </c>
      <c r="M4640">
        <v>700</v>
      </c>
    </row>
    <row r="4641" spans="1:13">
      <c r="A4641">
        <v>4635</v>
      </c>
      <c r="B4641">
        <v>90896</v>
      </c>
      <c r="C4641" t="s">
        <v>9871</v>
      </c>
      <c r="D4641" t="s">
        <v>105</v>
      </c>
      <c r="E4641" t="s">
        <v>9872</v>
      </c>
      <c r="F4641" t="str">
        <f>"00396396"</f>
        <v>00396396</v>
      </c>
      <c r="G4641" t="s">
        <v>1653</v>
      </c>
      <c r="H4641" t="s">
        <v>20</v>
      </c>
      <c r="I4641">
        <v>1573</v>
      </c>
      <c r="J4641" t="s">
        <v>21</v>
      </c>
      <c r="K4641">
        <v>0</v>
      </c>
      <c r="L4641" t="s">
        <v>59</v>
      </c>
      <c r="M4641">
        <v>1188</v>
      </c>
    </row>
    <row r="4642" spans="1:13">
      <c r="A4642">
        <v>4636</v>
      </c>
      <c r="B4642">
        <v>61419</v>
      </c>
      <c r="C4642" t="s">
        <v>9873</v>
      </c>
      <c r="D4642" t="s">
        <v>288</v>
      </c>
      <c r="E4642" t="s">
        <v>9874</v>
      </c>
      <c r="F4642" t="str">
        <f>"201511020476"</f>
        <v>201511020476</v>
      </c>
      <c r="G4642" t="s">
        <v>834</v>
      </c>
      <c r="H4642" t="s">
        <v>20</v>
      </c>
      <c r="I4642">
        <v>1416</v>
      </c>
      <c r="J4642" t="s">
        <v>21</v>
      </c>
      <c r="K4642">
        <v>0</v>
      </c>
      <c r="M4642">
        <v>1338</v>
      </c>
    </row>
    <row r="4643" spans="1:13">
      <c r="A4643">
        <v>4637</v>
      </c>
      <c r="B4643">
        <v>79437</v>
      </c>
      <c r="C4643" t="s">
        <v>9875</v>
      </c>
      <c r="D4643" t="s">
        <v>102</v>
      </c>
      <c r="E4643" t="s">
        <v>9876</v>
      </c>
      <c r="F4643" t="str">
        <f>"00245124"</f>
        <v>00245124</v>
      </c>
      <c r="G4643" t="s">
        <v>2855</v>
      </c>
      <c r="H4643" t="s">
        <v>20</v>
      </c>
      <c r="I4643">
        <v>1561</v>
      </c>
      <c r="J4643" t="s">
        <v>21</v>
      </c>
      <c r="K4643">
        <v>6</v>
      </c>
      <c r="M4643">
        <v>1048</v>
      </c>
    </row>
    <row r="4644" spans="1:13">
      <c r="A4644">
        <v>4638</v>
      </c>
      <c r="B4644">
        <v>49043</v>
      </c>
      <c r="C4644" t="s">
        <v>9877</v>
      </c>
      <c r="D4644" t="s">
        <v>80</v>
      </c>
      <c r="E4644" t="s">
        <v>9878</v>
      </c>
      <c r="F4644" t="str">
        <f>"00373012"</f>
        <v>00373012</v>
      </c>
      <c r="G4644" t="s">
        <v>107</v>
      </c>
      <c r="H4644" t="s">
        <v>20</v>
      </c>
      <c r="I4644">
        <v>1472</v>
      </c>
      <c r="J4644" t="s">
        <v>21</v>
      </c>
      <c r="K4644">
        <v>0</v>
      </c>
      <c r="L4644" t="s">
        <v>88</v>
      </c>
      <c r="M4644">
        <v>600</v>
      </c>
    </row>
    <row r="4645" spans="1:13">
      <c r="A4645">
        <v>4639</v>
      </c>
      <c r="B4645">
        <v>73079</v>
      </c>
      <c r="C4645" t="s">
        <v>9879</v>
      </c>
      <c r="D4645" t="s">
        <v>6694</v>
      </c>
      <c r="E4645" t="s">
        <v>9880</v>
      </c>
      <c r="F4645" t="str">
        <f>"201511025246"</f>
        <v>201511025246</v>
      </c>
      <c r="G4645" t="s">
        <v>47</v>
      </c>
      <c r="H4645" t="s">
        <v>48</v>
      </c>
      <c r="I4645">
        <v>1623</v>
      </c>
      <c r="J4645" t="s">
        <v>21</v>
      </c>
      <c r="K4645">
        <v>0</v>
      </c>
      <c r="L4645" t="s">
        <v>83</v>
      </c>
      <c r="M4645">
        <v>1288</v>
      </c>
    </row>
    <row r="4646" spans="1:13">
      <c r="A4646">
        <v>4640</v>
      </c>
      <c r="B4646">
        <v>100149</v>
      </c>
      <c r="C4646" t="s">
        <v>9881</v>
      </c>
      <c r="D4646" t="s">
        <v>76</v>
      </c>
      <c r="E4646" t="s">
        <v>9882</v>
      </c>
      <c r="F4646" t="str">
        <f>"00345680"</f>
        <v>00345680</v>
      </c>
      <c r="G4646" t="s">
        <v>2284</v>
      </c>
      <c r="H4646" t="s">
        <v>20</v>
      </c>
      <c r="I4646">
        <v>1465</v>
      </c>
      <c r="J4646" t="s">
        <v>21</v>
      </c>
      <c r="K4646">
        <v>0</v>
      </c>
      <c r="M4646">
        <v>1468</v>
      </c>
    </row>
    <row r="4647" spans="1:13">
      <c r="A4647">
        <v>4641</v>
      </c>
      <c r="B4647">
        <v>99337</v>
      </c>
      <c r="C4647" t="s">
        <v>9883</v>
      </c>
      <c r="D4647" t="s">
        <v>153</v>
      </c>
      <c r="E4647" t="s">
        <v>9884</v>
      </c>
      <c r="F4647" t="str">
        <f>"00393773"</f>
        <v>00393773</v>
      </c>
      <c r="G4647" t="s">
        <v>125</v>
      </c>
      <c r="H4647" t="s">
        <v>20</v>
      </c>
      <c r="I4647">
        <v>1507</v>
      </c>
      <c r="J4647" t="s">
        <v>21</v>
      </c>
      <c r="K4647">
        <v>0</v>
      </c>
      <c r="M4647">
        <v>1488</v>
      </c>
    </row>
    <row r="4648" spans="1:13">
      <c r="A4648">
        <v>4642</v>
      </c>
      <c r="B4648">
        <v>90411</v>
      </c>
      <c r="C4648" t="s">
        <v>9885</v>
      </c>
      <c r="D4648" t="s">
        <v>914</v>
      </c>
      <c r="E4648" t="s">
        <v>9886</v>
      </c>
      <c r="F4648" t="str">
        <f>"00392855"</f>
        <v>00392855</v>
      </c>
      <c r="G4648" t="s">
        <v>47</v>
      </c>
      <c r="H4648" t="s">
        <v>48</v>
      </c>
      <c r="I4648">
        <v>1623</v>
      </c>
      <c r="J4648" t="s">
        <v>21</v>
      </c>
      <c r="K4648">
        <v>0</v>
      </c>
      <c r="L4648" t="s">
        <v>59</v>
      </c>
      <c r="M4648">
        <v>998</v>
      </c>
    </row>
    <row r="4649" spans="1:13">
      <c r="A4649">
        <v>4643</v>
      </c>
      <c r="B4649">
        <v>52189</v>
      </c>
      <c r="C4649" t="s">
        <v>9887</v>
      </c>
      <c r="D4649" t="s">
        <v>1385</v>
      </c>
      <c r="E4649" t="s">
        <v>9888</v>
      </c>
      <c r="F4649" t="str">
        <f>"200801009403"</f>
        <v>200801009403</v>
      </c>
      <c r="G4649" t="s">
        <v>834</v>
      </c>
      <c r="H4649" t="s">
        <v>20</v>
      </c>
      <c r="I4649">
        <v>1416</v>
      </c>
      <c r="J4649" t="s">
        <v>21</v>
      </c>
      <c r="K4649">
        <v>0</v>
      </c>
      <c r="M4649">
        <v>1338</v>
      </c>
    </row>
    <row r="4650" spans="1:13">
      <c r="A4650">
        <v>4644</v>
      </c>
      <c r="B4650">
        <v>87058</v>
      </c>
      <c r="C4650" t="s">
        <v>9889</v>
      </c>
      <c r="D4650" t="s">
        <v>525</v>
      </c>
      <c r="E4650" t="s">
        <v>9890</v>
      </c>
      <c r="F4650" t="str">
        <f>"00397847"</f>
        <v>00397847</v>
      </c>
      <c r="G4650" t="s">
        <v>626</v>
      </c>
      <c r="H4650" t="s">
        <v>234</v>
      </c>
      <c r="I4650">
        <v>1327</v>
      </c>
      <c r="J4650" t="s">
        <v>21</v>
      </c>
      <c r="K4650">
        <v>0</v>
      </c>
      <c r="M4650">
        <v>1542</v>
      </c>
    </row>
    <row r="4651" spans="1:13">
      <c r="A4651">
        <v>4645</v>
      </c>
      <c r="B4651">
        <v>92749</v>
      </c>
      <c r="C4651" t="s">
        <v>9891</v>
      </c>
      <c r="D4651" t="s">
        <v>121</v>
      </c>
      <c r="E4651" t="s">
        <v>9892</v>
      </c>
      <c r="F4651" t="str">
        <f>"00395238"</f>
        <v>00395238</v>
      </c>
      <c r="G4651" t="s">
        <v>47</v>
      </c>
      <c r="H4651" t="s">
        <v>48</v>
      </c>
      <c r="I4651">
        <v>1623</v>
      </c>
      <c r="J4651" t="s">
        <v>21</v>
      </c>
      <c r="K4651">
        <v>0</v>
      </c>
      <c r="L4651" t="s">
        <v>35</v>
      </c>
      <c r="M4651">
        <v>870</v>
      </c>
    </row>
    <row r="4652" spans="1:13">
      <c r="A4652">
        <v>4646</v>
      </c>
      <c r="B4652">
        <v>53362</v>
      </c>
      <c r="C4652" t="s">
        <v>9893</v>
      </c>
      <c r="D4652" t="s">
        <v>2130</v>
      </c>
      <c r="E4652" t="s">
        <v>9894</v>
      </c>
      <c r="F4652" t="str">
        <f>"00083756"</f>
        <v>00083756</v>
      </c>
      <c r="G4652" t="s">
        <v>107</v>
      </c>
      <c r="H4652" t="s">
        <v>20</v>
      </c>
      <c r="I4652">
        <v>1472</v>
      </c>
      <c r="J4652" t="s">
        <v>21</v>
      </c>
      <c r="K4652">
        <v>0</v>
      </c>
      <c r="M4652">
        <v>1378</v>
      </c>
    </row>
    <row r="4653" spans="1:13">
      <c r="A4653">
        <v>4647</v>
      </c>
      <c r="B4653">
        <v>55038</v>
      </c>
      <c r="C4653" t="s">
        <v>9895</v>
      </c>
      <c r="D4653" t="s">
        <v>218</v>
      </c>
      <c r="E4653" t="s">
        <v>9896</v>
      </c>
      <c r="F4653" t="str">
        <f>"00263172"</f>
        <v>00263172</v>
      </c>
      <c r="G4653" t="s">
        <v>87</v>
      </c>
      <c r="H4653" t="s">
        <v>20</v>
      </c>
      <c r="I4653">
        <v>1436</v>
      </c>
      <c r="J4653" t="s">
        <v>21</v>
      </c>
      <c r="K4653">
        <v>0</v>
      </c>
      <c r="L4653" t="s">
        <v>35</v>
      </c>
      <c r="M4653">
        <v>900</v>
      </c>
    </row>
    <row r="4654" spans="1:13">
      <c r="A4654">
        <v>4648</v>
      </c>
      <c r="B4654">
        <v>104810</v>
      </c>
      <c r="C4654" t="s">
        <v>9897</v>
      </c>
      <c r="D4654" t="s">
        <v>105</v>
      </c>
      <c r="E4654" t="s">
        <v>9898</v>
      </c>
      <c r="F4654" t="str">
        <f>"201511005103"</f>
        <v>201511005103</v>
      </c>
      <c r="G4654" t="s">
        <v>125</v>
      </c>
      <c r="H4654" t="s">
        <v>20</v>
      </c>
      <c r="I4654">
        <v>1507</v>
      </c>
      <c r="J4654" t="s">
        <v>21</v>
      </c>
      <c r="K4654">
        <v>0</v>
      </c>
      <c r="L4654" t="s">
        <v>35</v>
      </c>
      <c r="M4654">
        <v>950</v>
      </c>
    </row>
    <row r="4655" spans="1:13">
      <c r="A4655">
        <v>4649</v>
      </c>
      <c r="B4655">
        <v>78426</v>
      </c>
      <c r="C4655" t="s">
        <v>9899</v>
      </c>
      <c r="D4655" t="s">
        <v>163</v>
      </c>
      <c r="E4655" t="s">
        <v>9900</v>
      </c>
      <c r="F4655" t="str">
        <f>"00382399"</f>
        <v>00382399</v>
      </c>
      <c r="G4655" t="s">
        <v>107</v>
      </c>
      <c r="H4655" t="s">
        <v>20</v>
      </c>
      <c r="I4655">
        <v>1472</v>
      </c>
      <c r="J4655" t="s">
        <v>21</v>
      </c>
      <c r="K4655">
        <v>0</v>
      </c>
      <c r="L4655" t="s">
        <v>2999</v>
      </c>
      <c r="M4655">
        <v>900</v>
      </c>
    </row>
    <row r="4656" spans="1:13">
      <c r="A4656">
        <v>4650</v>
      </c>
      <c r="B4656">
        <v>47446</v>
      </c>
      <c r="C4656" t="s">
        <v>9901</v>
      </c>
      <c r="D4656" t="s">
        <v>80</v>
      </c>
      <c r="E4656" t="s">
        <v>9902</v>
      </c>
      <c r="F4656" t="str">
        <f>"00185953"</f>
        <v>00185953</v>
      </c>
      <c r="G4656" t="s">
        <v>2031</v>
      </c>
      <c r="H4656" t="s">
        <v>137</v>
      </c>
      <c r="I4656">
        <v>1610</v>
      </c>
      <c r="J4656" t="s">
        <v>21</v>
      </c>
      <c r="K4656">
        <v>0</v>
      </c>
      <c r="L4656" t="s">
        <v>59</v>
      </c>
      <c r="M4656">
        <v>976</v>
      </c>
    </row>
    <row r="4657" spans="1:13">
      <c r="A4657">
        <v>4651</v>
      </c>
      <c r="B4657">
        <v>81056</v>
      </c>
      <c r="C4657" t="s">
        <v>9903</v>
      </c>
      <c r="D4657" t="s">
        <v>80</v>
      </c>
      <c r="E4657" t="s">
        <v>9904</v>
      </c>
      <c r="F4657" t="str">
        <f>"00406554"</f>
        <v>00406554</v>
      </c>
      <c r="G4657" t="s">
        <v>107</v>
      </c>
      <c r="H4657" t="s">
        <v>20</v>
      </c>
      <c r="I4657">
        <v>1472</v>
      </c>
      <c r="J4657" t="s">
        <v>21</v>
      </c>
      <c r="K4657">
        <v>0</v>
      </c>
      <c r="L4657" t="s">
        <v>59</v>
      </c>
      <c r="M4657">
        <v>1028</v>
      </c>
    </row>
    <row r="4658" spans="1:13">
      <c r="A4658">
        <v>4652</v>
      </c>
      <c r="B4658">
        <v>65178</v>
      </c>
      <c r="C4658" t="s">
        <v>9905</v>
      </c>
      <c r="D4658" t="s">
        <v>105</v>
      </c>
      <c r="E4658" t="s">
        <v>9906</v>
      </c>
      <c r="F4658" t="str">
        <f>"00317612"</f>
        <v>00317612</v>
      </c>
      <c r="G4658" t="s">
        <v>211</v>
      </c>
      <c r="H4658" t="s">
        <v>48</v>
      </c>
      <c r="I4658">
        <v>1628</v>
      </c>
      <c r="J4658" t="s">
        <v>21</v>
      </c>
      <c r="K4658">
        <v>0</v>
      </c>
      <c r="M4658">
        <v>1328</v>
      </c>
    </row>
    <row r="4659" spans="1:13">
      <c r="A4659">
        <v>4653</v>
      </c>
      <c r="B4659">
        <v>89270</v>
      </c>
      <c r="C4659" t="s">
        <v>9907</v>
      </c>
      <c r="D4659" t="s">
        <v>105</v>
      </c>
      <c r="E4659" t="s">
        <v>9908</v>
      </c>
      <c r="F4659" t="str">
        <f>"00422919"</f>
        <v>00422919</v>
      </c>
      <c r="G4659" t="s">
        <v>9909</v>
      </c>
      <c r="H4659" t="s">
        <v>20</v>
      </c>
      <c r="I4659">
        <v>1481</v>
      </c>
      <c r="J4659" t="s">
        <v>21</v>
      </c>
      <c r="K4659">
        <v>6</v>
      </c>
      <c r="M4659">
        <v>1328</v>
      </c>
    </row>
    <row r="4660" spans="1:13">
      <c r="A4660">
        <v>4654</v>
      </c>
      <c r="B4660">
        <v>77555</v>
      </c>
      <c r="C4660" t="s">
        <v>9910</v>
      </c>
      <c r="D4660" t="s">
        <v>145</v>
      </c>
      <c r="E4660" t="s">
        <v>9911</v>
      </c>
      <c r="F4660" t="str">
        <f>"00408876"</f>
        <v>00408876</v>
      </c>
      <c r="G4660" t="s">
        <v>47</v>
      </c>
      <c r="H4660" t="s">
        <v>48</v>
      </c>
      <c r="I4660">
        <v>1623</v>
      </c>
      <c r="J4660" t="s">
        <v>21</v>
      </c>
      <c r="K4660">
        <v>0</v>
      </c>
      <c r="L4660" t="s">
        <v>35</v>
      </c>
      <c r="M4660">
        <v>889</v>
      </c>
    </row>
    <row r="4661" spans="1:13">
      <c r="A4661">
        <v>4655</v>
      </c>
      <c r="B4661">
        <v>106432</v>
      </c>
      <c r="C4661" t="s">
        <v>9912</v>
      </c>
      <c r="D4661" t="s">
        <v>205</v>
      </c>
      <c r="E4661" t="s">
        <v>9913</v>
      </c>
      <c r="F4661" t="str">
        <f>"00225224"</f>
        <v>00225224</v>
      </c>
      <c r="G4661" t="s">
        <v>24</v>
      </c>
      <c r="H4661" t="s">
        <v>20</v>
      </c>
      <c r="I4661">
        <v>1577</v>
      </c>
      <c r="J4661" t="s">
        <v>21</v>
      </c>
      <c r="K4661">
        <v>0</v>
      </c>
      <c r="L4661" t="s">
        <v>112</v>
      </c>
      <c r="M4661">
        <v>758</v>
      </c>
    </row>
    <row r="4662" spans="1:13">
      <c r="A4662">
        <v>4656</v>
      </c>
      <c r="B4662">
        <v>53013</v>
      </c>
      <c r="C4662" t="s">
        <v>9914</v>
      </c>
      <c r="D4662" t="s">
        <v>1001</v>
      </c>
      <c r="E4662" t="s">
        <v>9915</v>
      </c>
      <c r="F4662" t="str">
        <f>"201511007281"</f>
        <v>201511007281</v>
      </c>
      <c r="G4662" t="s">
        <v>5467</v>
      </c>
      <c r="H4662" t="s">
        <v>535</v>
      </c>
      <c r="I4662">
        <v>1663</v>
      </c>
      <c r="J4662" t="s">
        <v>21</v>
      </c>
      <c r="K4662">
        <v>0</v>
      </c>
      <c r="L4662" t="s">
        <v>35</v>
      </c>
      <c r="M4662">
        <v>908</v>
      </c>
    </row>
    <row r="4663" spans="1:13">
      <c r="A4663">
        <v>4657</v>
      </c>
      <c r="B4663">
        <v>82905</v>
      </c>
      <c r="C4663" t="s">
        <v>9916</v>
      </c>
      <c r="D4663" t="s">
        <v>98</v>
      </c>
      <c r="E4663" t="s">
        <v>9917</v>
      </c>
      <c r="F4663" t="str">
        <f>"00406414"</f>
        <v>00406414</v>
      </c>
      <c r="G4663" t="s">
        <v>170</v>
      </c>
      <c r="H4663" t="s">
        <v>20</v>
      </c>
      <c r="I4663">
        <v>1412</v>
      </c>
      <c r="J4663" t="s">
        <v>21</v>
      </c>
      <c r="K4663">
        <v>0</v>
      </c>
      <c r="L4663" t="s">
        <v>35</v>
      </c>
      <c r="M4663">
        <v>1008</v>
      </c>
    </row>
    <row r="4664" spans="1:13">
      <c r="A4664">
        <v>4658</v>
      </c>
      <c r="B4664">
        <v>57045</v>
      </c>
      <c r="C4664" t="s">
        <v>9918</v>
      </c>
      <c r="D4664" t="s">
        <v>80</v>
      </c>
      <c r="E4664" t="s">
        <v>9919</v>
      </c>
      <c r="F4664" t="str">
        <f>"201511013353"</f>
        <v>201511013353</v>
      </c>
      <c r="G4664" t="s">
        <v>428</v>
      </c>
      <c r="H4664" t="s">
        <v>20</v>
      </c>
      <c r="I4664">
        <v>1556</v>
      </c>
      <c r="J4664" t="s">
        <v>21</v>
      </c>
      <c r="K4664">
        <v>6</v>
      </c>
      <c r="M4664">
        <v>1368</v>
      </c>
    </row>
    <row r="4665" spans="1:13">
      <c r="A4665">
        <v>4659</v>
      </c>
      <c r="B4665">
        <v>73949</v>
      </c>
      <c r="C4665" t="s">
        <v>9920</v>
      </c>
      <c r="D4665" t="s">
        <v>243</v>
      </c>
      <c r="E4665" t="s">
        <v>9921</v>
      </c>
      <c r="F4665" t="str">
        <f>"00381362"</f>
        <v>00381362</v>
      </c>
      <c r="G4665" t="s">
        <v>883</v>
      </c>
      <c r="H4665" t="s">
        <v>270</v>
      </c>
      <c r="I4665">
        <v>1585</v>
      </c>
      <c r="J4665" t="s">
        <v>21</v>
      </c>
      <c r="K4665">
        <v>0</v>
      </c>
      <c r="L4665" t="s">
        <v>35</v>
      </c>
      <c r="M4665">
        <v>1050</v>
      </c>
    </row>
    <row r="4666" spans="1:13">
      <c r="A4666">
        <v>4660</v>
      </c>
      <c r="B4666">
        <v>84891</v>
      </c>
      <c r="C4666" t="s">
        <v>9922</v>
      </c>
      <c r="D4666" t="s">
        <v>566</v>
      </c>
      <c r="E4666" t="s">
        <v>9923</v>
      </c>
      <c r="F4666" t="str">
        <f>"201406014114"</f>
        <v>201406014114</v>
      </c>
      <c r="G4666" t="s">
        <v>2164</v>
      </c>
      <c r="H4666" t="s">
        <v>20</v>
      </c>
      <c r="I4666">
        <v>1495</v>
      </c>
      <c r="J4666" t="s">
        <v>21</v>
      </c>
      <c r="K4666">
        <v>6</v>
      </c>
      <c r="L4666" t="s">
        <v>35</v>
      </c>
      <c r="M4666">
        <v>1108</v>
      </c>
    </row>
    <row r="4667" spans="1:13">
      <c r="A4667">
        <v>4661</v>
      </c>
      <c r="B4667">
        <v>54291</v>
      </c>
      <c r="C4667" t="s">
        <v>9924</v>
      </c>
      <c r="D4667" t="s">
        <v>90</v>
      </c>
      <c r="E4667" t="s">
        <v>9925</v>
      </c>
      <c r="F4667" t="str">
        <f>"00359387"</f>
        <v>00359387</v>
      </c>
      <c r="G4667" t="s">
        <v>2025</v>
      </c>
      <c r="H4667" t="s">
        <v>20</v>
      </c>
      <c r="I4667">
        <v>1570</v>
      </c>
      <c r="J4667" t="s">
        <v>21</v>
      </c>
      <c r="K4667">
        <v>6</v>
      </c>
      <c r="M4667">
        <v>1605</v>
      </c>
    </row>
    <row r="4668" spans="1:13">
      <c r="A4668">
        <v>4662</v>
      </c>
      <c r="B4668">
        <v>56446</v>
      </c>
      <c r="C4668" t="s">
        <v>9926</v>
      </c>
      <c r="D4668" t="s">
        <v>238</v>
      </c>
      <c r="E4668" t="s">
        <v>9927</v>
      </c>
      <c r="F4668" t="str">
        <f>"00280396"</f>
        <v>00280396</v>
      </c>
      <c r="G4668" t="s">
        <v>111</v>
      </c>
      <c r="H4668" t="s">
        <v>48</v>
      </c>
      <c r="I4668">
        <v>1620</v>
      </c>
      <c r="J4668" t="s">
        <v>21</v>
      </c>
      <c r="K4668">
        <v>0</v>
      </c>
      <c r="L4668" t="s">
        <v>88</v>
      </c>
      <c r="M4668">
        <v>650</v>
      </c>
    </row>
    <row r="4669" spans="1:13">
      <c r="A4669">
        <v>4663</v>
      </c>
      <c r="B4669">
        <v>91797</v>
      </c>
      <c r="C4669" t="s">
        <v>9928</v>
      </c>
      <c r="D4669" t="s">
        <v>130</v>
      </c>
      <c r="E4669" t="s">
        <v>9929</v>
      </c>
      <c r="F4669" t="str">
        <f>"00402591"</f>
        <v>00402591</v>
      </c>
      <c r="G4669" t="s">
        <v>955</v>
      </c>
      <c r="H4669" t="s">
        <v>48</v>
      </c>
      <c r="I4669">
        <v>1630</v>
      </c>
      <c r="J4669" t="s">
        <v>21</v>
      </c>
      <c r="K4669">
        <v>0</v>
      </c>
      <c r="M4669">
        <v>1328</v>
      </c>
    </row>
    <row r="4670" spans="1:13">
      <c r="A4670">
        <v>4664</v>
      </c>
      <c r="B4670">
        <v>103492</v>
      </c>
      <c r="C4670" t="s">
        <v>9930</v>
      </c>
      <c r="D4670" t="s">
        <v>243</v>
      </c>
      <c r="E4670" t="s">
        <v>9931</v>
      </c>
      <c r="F4670" t="str">
        <f>"00045105"</f>
        <v>00045105</v>
      </c>
      <c r="G4670" t="s">
        <v>1404</v>
      </c>
      <c r="H4670" t="s">
        <v>20</v>
      </c>
      <c r="I4670">
        <v>1414</v>
      </c>
      <c r="J4670" t="s">
        <v>21</v>
      </c>
      <c r="K4670">
        <v>0</v>
      </c>
      <c r="M4670">
        <v>1568</v>
      </c>
    </row>
    <row r="4671" spans="1:13">
      <c r="A4671">
        <v>4665</v>
      </c>
      <c r="B4671">
        <v>90410</v>
      </c>
      <c r="C4671" t="s">
        <v>9932</v>
      </c>
      <c r="D4671" t="s">
        <v>243</v>
      </c>
      <c r="E4671" t="s">
        <v>9933</v>
      </c>
      <c r="F4671" t="str">
        <f>"00392624"</f>
        <v>00392624</v>
      </c>
      <c r="G4671" t="s">
        <v>107</v>
      </c>
      <c r="H4671" t="s">
        <v>20</v>
      </c>
      <c r="I4671">
        <v>1472</v>
      </c>
      <c r="J4671" t="s">
        <v>21</v>
      </c>
      <c r="K4671">
        <v>0</v>
      </c>
      <c r="M4671">
        <v>1388</v>
      </c>
    </row>
    <row r="4672" spans="1:13">
      <c r="A4672">
        <v>4666</v>
      </c>
      <c r="B4672">
        <v>87394</v>
      </c>
      <c r="C4672" t="s">
        <v>9934</v>
      </c>
      <c r="D4672" t="s">
        <v>145</v>
      </c>
      <c r="E4672" t="s">
        <v>9935</v>
      </c>
      <c r="F4672" t="str">
        <f>"00389050"</f>
        <v>00389050</v>
      </c>
      <c r="G4672" t="s">
        <v>1753</v>
      </c>
      <c r="H4672" t="s">
        <v>20</v>
      </c>
      <c r="I4672">
        <v>1544</v>
      </c>
      <c r="J4672" t="s">
        <v>21</v>
      </c>
      <c r="K4672">
        <v>0</v>
      </c>
      <c r="L4672" t="s">
        <v>35</v>
      </c>
      <c r="M4672">
        <v>1074</v>
      </c>
    </row>
    <row r="4673" spans="1:13">
      <c r="A4673">
        <v>4667</v>
      </c>
      <c r="B4673">
        <v>48510</v>
      </c>
      <c r="C4673" t="s">
        <v>9936</v>
      </c>
      <c r="D4673" t="s">
        <v>90</v>
      </c>
      <c r="E4673" t="s">
        <v>9937</v>
      </c>
      <c r="F4673" t="str">
        <f>"00021160"</f>
        <v>00021160</v>
      </c>
      <c r="G4673" t="s">
        <v>24</v>
      </c>
      <c r="H4673" t="s">
        <v>20</v>
      </c>
      <c r="I4673">
        <v>1577</v>
      </c>
      <c r="J4673" t="s">
        <v>21</v>
      </c>
      <c r="K4673">
        <v>0</v>
      </c>
      <c r="M4673">
        <v>1338</v>
      </c>
    </row>
    <row r="4674" spans="1:13">
      <c r="A4674">
        <v>4668</v>
      </c>
      <c r="B4674">
        <v>104140</v>
      </c>
      <c r="C4674" t="s">
        <v>9938</v>
      </c>
      <c r="D4674" t="s">
        <v>563</v>
      </c>
      <c r="E4674" t="s">
        <v>9939</v>
      </c>
      <c r="F4674" t="str">
        <f>"00391837"</f>
        <v>00391837</v>
      </c>
      <c r="G4674" t="s">
        <v>325</v>
      </c>
      <c r="H4674" t="s">
        <v>326</v>
      </c>
      <c r="I4674">
        <v>1592</v>
      </c>
      <c r="J4674" t="s">
        <v>21</v>
      </c>
      <c r="K4674">
        <v>0</v>
      </c>
      <c r="M4674">
        <v>1588</v>
      </c>
    </row>
    <row r="4675" spans="1:13">
      <c r="A4675">
        <v>4669</v>
      </c>
      <c r="B4675">
        <v>65848</v>
      </c>
      <c r="C4675" t="s">
        <v>9940</v>
      </c>
      <c r="D4675" t="s">
        <v>243</v>
      </c>
      <c r="E4675" t="s">
        <v>9941</v>
      </c>
      <c r="F4675" t="str">
        <f>"00262011"</f>
        <v>00262011</v>
      </c>
      <c r="G4675" t="s">
        <v>82</v>
      </c>
      <c r="H4675" t="s">
        <v>20</v>
      </c>
      <c r="I4675">
        <v>1475</v>
      </c>
      <c r="J4675" t="s">
        <v>21</v>
      </c>
      <c r="K4675">
        <v>0</v>
      </c>
      <c r="M4675">
        <v>1428</v>
      </c>
    </row>
    <row r="4676" spans="1:13">
      <c r="A4676">
        <v>4670</v>
      </c>
      <c r="B4676">
        <v>110772</v>
      </c>
      <c r="C4676" t="s">
        <v>9942</v>
      </c>
      <c r="D4676" t="s">
        <v>198</v>
      </c>
      <c r="E4676" t="s">
        <v>9943</v>
      </c>
      <c r="F4676" t="str">
        <f>"00354769"</f>
        <v>00354769</v>
      </c>
      <c r="G4676" t="s">
        <v>488</v>
      </c>
      <c r="H4676" t="s">
        <v>20</v>
      </c>
      <c r="I4676">
        <v>1482</v>
      </c>
      <c r="J4676" t="s">
        <v>21</v>
      </c>
      <c r="K4676">
        <v>0</v>
      </c>
      <c r="L4676" t="s">
        <v>59</v>
      </c>
      <c r="M4676">
        <v>988</v>
      </c>
    </row>
    <row r="4677" spans="1:13">
      <c r="A4677">
        <v>4671</v>
      </c>
      <c r="B4677">
        <v>74829</v>
      </c>
      <c r="C4677" t="s">
        <v>9944</v>
      </c>
      <c r="D4677" t="s">
        <v>145</v>
      </c>
      <c r="E4677" t="s">
        <v>9945</v>
      </c>
      <c r="F4677" t="str">
        <f>"00311090"</f>
        <v>00311090</v>
      </c>
      <c r="G4677" t="s">
        <v>1602</v>
      </c>
      <c r="H4677" t="s">
        <v>20</v>
      </c>
      <c r="I4677">
        <v>1427</v>
      </c>
      <c r="J4677" t="s">
        <v>21</v>
      </c>
      <c r="K4677">
        <v>7</v>
      </c>
      <c r="L4677" t="s">
        <v>59</v>
      </c>
      <c r="M4677">
        <v>0</v>
      </c>
    </row>
    <row r="4678" spans="1:13">
      <c r="A4678">
        <v>4672</v>
      </c>
      <c r="B4678">
        <v>57149</v>
      </c>
      <c r="C4678" t="s">
        <v>9946</v>
      </c>
      <c r="D4678" t="s">
        <v>243</v>
      </c>
      <c r="E4678" t="s">
        <v>9947</v>
      </c>
      <c r="F4678" t="str">
        <f>"00249600"</f>
        <v>00249600</v>
      </c>
      <c r="G4678" t="s">
        <v>349</v>
      </c>
      <c r="H4678" t="s">
        <v>270</v>
      </c>
      <c r="I4678">
        <v>1583</v>
      </c>
      <c r="J4678" t="s">
        <v>21</v>
      </c>
      <c r="K4678">
        <v>0</v>
      </c>
      <c r="M4678">
        <v>1488</v>
      </c>
    </row>
    <row r="4679" spans="1:13">
      <c r="A4679">
        <v>4673</v>
      </c>
      <c r="B4679">
        <v>83641</v>
      </c>
      <c r="C4679" t="s">
        <v>9948</v>
      </c>
      <c r="D4679" t="s">
        <v>905</v>
      </c>
      <c r="E4679" t="s">
        <v>9949</v>
      </c>
      <c r="F4679" t="str">
        <f>"00298084"</f>
        <v>00298084</v>
      </c>
      <c r="G4679" t="s">
        <v>294</v>
      </c>
      <c r="H4679" t="s">
        <v>20</v>
      </c>
      <c r="I4679">
        <v>1421</v>
      </c>
      <c r="J4679" t="s">
        <v>21</v>
      </c>
      <c r="K4679">
        <v>0</v>
      </c>
      <c r="L4679" t="s">
        <v>88</v>
      </c>
      <c r="M4679">
        <v>808</v>
      </c>
    </row>
    <row r="4680" spans="1:13">
      <c r="A4680">
        <v>4674</v>
      </c>
      <c r="B4680">
        <v>50218</v>
      </c>
      <c r="C4680" t="s">
        <v>9950</v>
      </c>
      <c r="D4680" t="s">
        <v>80</v>
      </c>
      <c r="E4680" t="s">
        <v>9951</v>
      </c>
      <c r="F4680" t="str">
        <f>"00273744"</f>
        <v>00273744</v>
      </c>
      <c r="G4680" t="s">
        <v>488</v>
      </c>
      <c r="H4680" t="s">
        <v>20</v>
      </c>
      <c r="I4680">
        <v>1482</v>
      </c>
      <c r="J4680" t="s">
        <v>21</v>
      </c>
      <c r="K4680">
        <v>0</v>
      </c>
      <c r="M4680">
        <v>1288</v>
      </c>
    </row>
    <row r="4681" spans="1:13">
      <c r="A4681">
        <v>4675</v>
      </c>
      <c r="B4681">
        <v>59194</v>
      </c>
      <c r="C4681" t="s">
        <v>9952</v>
      </c>
      <c r="D4681" t="s">
        <v>711</v>
      </c>
      <c r="E4681" t="s">
        <v>9953</v>
      </c>
      <c r="F4681" t="str">
        <f>"201409004097"</f>
        <v>201409004097</v>
      </c>
      <c r="G4681" t="s">
        <v>82</v>
      </c>
      <c r="H4681" t="s">
        <v>20</v>
      </c>
      <c r="I4681">
        <v>1475</v>
      </c>
      <c r="J4681" t="s">
        <v>21</v>
      </c>
      <c r="K4681">
        <v>0</v>
      </c>
      <c r="M4681">
        <v>1738</v>
      </c>
    </row>
    <row r="4682" spans="1:13">
      <c r="A4682">
        <v>4676</v>
      </c>
      <c r="B4682">
        <v>53451</v>
      </c>
      <c r="C4682" t="s">
        <v>9954</v>
      </c>
      <c r="D4682" t="s">
        <v>334</v>
      </c>
      <c r="E4682" t="s">
        <v>9955</v>
      </c>
      <c r="F4682" t="str">
        <f>"00031626"</f>
        <v>00031626</v>
      </c>
      <c r="G4682" t="s">
        <v>371</v>
      </c>
      <c r="H4682" t="s">
        <v>20</v>
      </c>
      <c r="I4682">
        <v>1526</v>
      </c>
      <c r="J4682" t="s">
        <v>21</v>
      </c>
      <c r="K4682">
        <v>6</v>
      </c>
      <c r="L4682" t="s">
        <v>112</v>
      </c>
      <c r="M4682">
        <v>100</v>
      </c>
    </row>
    <row r="4683" spans="1:13">
      <c r="A4683">
        <v>4677</v>
      </c>
      <c r="B4683">
        <v>93697</v>
      </c>
      <c r="C4683" t="s">
        <v>9956</v>
      </c>
      <c r="D4683" t="s">
        <v>180</v>
      </c>
      <c r="E4683" t="s">
        <v>9957</v>
      </c>
      <c r="F4683" t="str">
        <f>"00049730"</f>
        <v>00049730</v>
      </c>
      <c r="G4683" t="s">
        <v>2817</v>
      </c>
      <c r="H4683" t="s">
        <v>20</v>
      </c>
      <c r="I4683">
        <v>1493</v>
      </c>
      <c r="J4683" t="s">
        <v>21</v>
      </c>
      <c r="K4683">
        <v>0</v>
      </c>
      <c r="L4683" t="s">
        <v>35</v>
      </c>
      <c r="M4683">
        <v>1000</v>
      </c>
    </row>
    <row r="4684" spans="1:13">
      <c r="A4684">
        <v>4678</v>
      </c>
      <c r="B4684">
        <v>46531</v>
      </c>
      <c r="C4684" t="s">
        <v>9958</v>
      </c>
      <c r="D4684" t="s">
        <v>905</v>
      </c>
      <c r="E4684" t="s">
        <v>9959</v>
      </c>
      <c r="F4684" t="str">
        <f>"00348122"</f>
        <v>00348122</v>
      </c>
      <c r="G4684" t="s">
        <v>63</v>
      </c>
      <c r="H4684" t="s">
        <v>20</v>
      </c>
      <c r="I4684">
        <v>1576</v>
      </c>
      <c r="J4684" t="s">
        <v>21</v>
      </c>
      <c r="K4684">
        <v>0</v>
      </c>
      <c r="L4684" t="s">
        <v>35</v>
      </c>
      <c r="M4684">
        <v>883</v>
      </c>
    </row>
    <row r="4685" spans="1:13">
      <c r="A4685">
        <v>4679</v>
      </c>
      <c r="B4685">
        <v>82550</v>
      </c>
      <c r="C4685" t="s">
        <v>9960</v>
      </c>
      <c r="D4685" t="s">
        <v>628</v>
      </c>
      <c r="E4685" t="s">
        <v>9961</v>
      </c>
      <c r="F4685" t="str">
        <f>"201511023422"</f>
        <v>201511023422</v>
      </c>
      <c r="G4685" t="s">
        <v>150</v>
      </c>
      <c r="H4685" t="s">
        <v>151</v>
      </c>
      <c r="I4685">
        <v>1699</v>
      </c>
      <c r="J4685" t="s">
        <v>21</v>
      </c>
      <c r="K4685">
        <v>0</v>
      </c>
      <c r="L4685" t="s">
        <v>35</v>
      </c>
      <c r="M4685">
        <v>850</v>
      </c>
    </row>
    <row r="4686" spans="1:13">
      <c r="A4686">
        <v>4680</v>
      </c>
      <c r="B4686">
        <v>84056</v>
      </c>
      <c r="C4686" t="s">
        <v>9962</v>
      </c>
      <c r="D4686" t="s">
        <v>218</v>
      </c>
      <c r="E4686" t="s">
        <v>9963</v>
      </c>
      <c r="F4686" t="str">
        <f>"00374286"</f>
        <v>00374286</v>
      </c>
      <c r="G4686" t="s">
        <v>107</v>
      </c>
      <c r="H4686" t="s">
        <v>20</v>
      </c>
      <c r="I4686">
        <v>1472</v>
      </c>
      <c r="J4686" t="s">
        <v>21</v>
      </c>
      <c r="K4686">
        <v>0</v>
      </c>
      <c r="L4686" t="s">
        <v>35</v>
      </c>
      <c r="M4686">
        <v>908</v>
      </c>
    </row>
    <row r="4687" spans="1:13">
      <c r="A4687">
        <v>4681</v>
      </c>
      <c r="B4687">
        <v>91212</v>
      </c>
      <c r="C4687" t="s">
        <v>9964</v>
      </c>
      <c r="D4687" t="s">
        <v>80</v>
      </c>
      <c r="E4687" t="s">
        <v>9965</v>
      </c>
      <c r="F4687" t="str">
        <f>"00422029"</f>
        <v>00422029</v>
      </c>
      <c r="G4687" t="s">
        <v>428</v>
      </c>
      <c r="H4687" t="s">
        <v>20</v>
      </c>
      <c r="I4687">
        <v>1556</v>
      </c>
      <c r="J4687" t="s">
        <v>21</v>
      </c>
      <c r="K4687">
        <v>6</v>
      </c>
      <c r="L4687" t="s">
        <v>59</v>
      </c>
      <c r="M4687">
        <v>974</v>
      </c>
    </row>
    <row r="4688" spans="1:13">
      <c r="A4688">
        <v>4682</v>
      </c>
      <c r="B4688">
        <v>103148</v>
      </c>
      <c r="C4688" t="s">
        <v>9966</v>
      </c>
      <c r="D4688" t="s">
        <v>163</v>
      </c>
      <c r="E4688" t="s">
        <v>9967</v>
      </c>
      <c r="F4688" t="str">
        <f>"00373471"</f>
        <v>00373471</v>
      </c>
      <c r="G4688" t="s">
        <v>70</v>
      </c>
      <c r="H4688" t="s">
        <v>71</v>
      </c>
      <c r="I4688">
        <v>1702</v>
      </c>
      <c r="J4688" t="s">
        <v>21</v>
      </c>
      <c r="K4688">
        <v>0</v>
      </c>
      <c r="L4688" t="s">
        <v>83</v>
      </c>
      <c r="M4688">
        <v>1190</v>
      </c>
    </row>
    <row r="4689" spans="1:13">
      <c r="A4689">
        <v>4683</v>
      </c>
      <c r="B4689">
        <v>92871</v>
      </c>
      <c r="C4689" t="s">
        <v>9968</v>
      </c>
      <c r="D4689" t="s">
        <v>105</v>
      </c>
      <c r="E4689" t="s">
        <v>9969</v>
      </c>
      <c r="F4689" t="str">
        <f>"00385110"</f>
        <v>00385110</v>
      </c>
      <c r="G4689" t="s">
        <v>258</v>
      </c>
      <c r="H4689" t="s">
        <v>20</v>
      </c>
      <c r="I4689">
        <v>1484</v>
      </c>
      <c r="J4689" t="s">
        <v>21</v>
      </c>
      <c r="K4689">
        <v>0</v>
      </c>
      <c r="L4689" t="s">
        <v>35</v>
      </c>
      <c r="M4689">
        <v>872</v>
      </c>
    </row>
    <row r="4690" spans="1:13">
      <c r="A4690">
        <v>4684</v>
      </c>
      <c r="B4690">
        <v>102336</v>
      </c>
      <c r="C4690" t="s">
        <v>9970</v>
      </c>
      <c r="D4690" t="s">
        <v>121</v>
      </c>
      <c r="E4690" t="s">
        <v>9971</v>
      </c>
      <c r="F4690" t="str">
        <f>"00400067"</f>
        <v>00400067</v>
      </c>
      <c r="G4690" t="s">
        <v>2443</v>
      </c>
      <c r="H4690" t="s">
        <v>20</v>
      </c>
      <c r="I4690">
        <v>1543</v>
      </c>
      <c r="J4690" t="s">
        <v>21</v>
      </c>
      <c r="K4690">
        <v>6</v>
      </c>
      <c r="M4690">
        <v>1488</v>
      </c>
    </row>
    <row r="4691" spans="1:13">
      <c r="A4691">
        <v>4685</v>
      </c>
      <c r="B4691">
        <v>91915</v>
      </c>
      <c r="C4691" t="s">
        <v>9972</v>
      </c>
      <c r="D4691" t="s">
        <v>213</v>
      </c>
      <c r="E4691" t="s">
        <v>9973</v>
      </c>
      <c r="F4691" t="str">
        <f>"201412005034"</f>
        <v>201412005034</v>
      </c>
      <c r="G4691" t="s">
        <v>38</v>
      </c>
      <c r="H4691" t="s">
        <v>39</v>
      </c>
      <c r="I4691">
        <v>1634</v>
      </c>
      <c r="J4691" t="s">
        <v>21</v>
      </c>
      <c r="K4691">
        <v>0</v>
      </c>
      <c r="L4691" t="s">
        <v>88</v>
      </c>
      <c r="M4691">
        <v>400</v>
      </c>
    </row>
    <row r="4692" spans="1:13">
      <c r="A4692">
        <v>4686</v>
      </c>
      <c r="B4692">
        <v>61324</v>
      </c>
      <c r="C4692" t="s">
        <v>9974</v>
      </c>
      <c r="D4692" t="s">
        <v>105</v>
      </c>
      <c r="E4692" t="s">
        <v>9975</v>
      </c>
      <c r="F4692" t="str">
        <f>"00353323"</f>
        <v>00353323</v>
      </c>
      <c r="G4692" t="s">
        <v>150</v>
      </c>
      <c r="H4692" t="s">
        <v>151</v>
      </c>
      <c r="I4692">
        <v>1699</v>
      </c>
      <c r="J4692" t="s">
        <v>21</v>
      </c>
      <c r="K4692">
        <v>0</v>
      </c>
      <c r="M4692">
        <v>1328</v>
      </c>
    </row>
    <row r="4693" spans="1:13">
      <c r="A4693">
        <v>4687</v>
      </c>
      <c r="B4693">
        <v>85979</v>
      </c>
      <c r="C4693" t="s">
        <v>9976</v>
      </c>
      <c r="D4693" t="s">
        <v>1385</v>
      </c>
      <c r="E4693" t="s">
        <v>9977</v>
      </c>
      <c r="F4693" t="str">
        <f>"00383544"</f>
        <v>00383544</v>
      </c>
      <c r="G4693" t="s">
        <v>540</v>
      </c>
      <c r="H4693" t="s">
        <v>20</v>
      </c>
      <c r="I4693">
        <v>1435</v>
      </c>
      <c r="J4693" t="s">
        <v>21</v>
      </c>
      <c r="K4693">
        <v>0</v>
      </c>
      <c r="L4693" t="s">
        <v>35</v>
      </c>
      <c r="M4693">
        <v>858</v>
      </c>
    </row>
    <row r="4694" spans="1:13">
      <c r="A4694">
        <v>4688</v>
      </c>
      <c r="B4694">
        <v>91831</v>
      </c>
      <c r="C4694" t="s">
        <v>9978</v>
      </c>
      <c r="D4694" t="s">
        <v>80</v>
      </c>
      <c r="E4694" t="s">
        <v>9979</v>
      </c>
      <c r="F4694" t="str">
        <f>"00376539"</f>
        <v>00376539</v>
      </c>
      <c r="G4694" t="s">
        <v>150</v>
      </c>
      <c r="H4694" t="s">
        <v>151</v>
      </c>
      <c r="I4694">
        <v>1699</v>
      </c>
      <c r="J4694" t="s">
        <v>21</v>
      </c>
      <c r="K4694">
        <v>0</v>
      </c>
      <c r="L4694" t="s">
        <v>35</v>
      </c>
      <c r="M4694">
        <v>875</v>
      </c>
    </row>
    <row r="4695" spans="1:13">
      <c r="A4695">
        <v>4689</v>
      </c>
      <c r="B4695">
        <v>116992</v>
      </c>
      <c r="C4695" t="s">
        <v>9980</v>
      </c>
      <c r="D4695" t="s">
        <v>105</v>
      </c>
      <c r="E4695" t="s">
        <v>9981</v>
      </c>
      <c r="F4695" t="str">
        <f>"00291545"</f>
        <v>00291545</v>
      </c>
      <c r="G4695" t="s">
        <v>2025</v>
      </c>
      <c r="H4695" t="s">
        <v>20</v>
      </c>
      <c r="I4695">
        <v>1570</v>
      </c>
      <c r="J4695" t="s">
        <v>21</v>
      </c>
      <c r="K4695">
        <v>6</v>
      </c>
      <c r="M4695">
        <v>1488</v>
      </c>
    </row>
    <row r="4696" spans="1:13">
      <c r="A4696">
        <v>4690</v>
      </c>
      <c r="B4696">
        <v>67560</v>
      </c>
      <c r="C4696" t="s">
        <v>9982</v>
      </c>
      <c r="D4696" t="s">
        <v>1413</v>
      </c>
      <c r="E4696" t="s">
        <v>9983</v>
      </c>
      <c r="F4696" t="str">
        <f>"00374641"</f>
        <v>00374641</v>
      </c>
      <c r="G4696" t="s">
        <v>600</v>
      </c>
      <c r="H4696" t="s">
        <v>366</v>
      </c>
      <c r="I4696">
        <v>1694</v>
      </c>
      <c r="J4696" t="s">
        <v>21</v>
      </c>
      <c r="K4696">
        <v>0</v>
      </c>
      <c r="L4696" t="s">
        <v>35</v>
      </c>
      <c r="M4696">
        <v>1215</v>
      </c>
    </row>
    <row r="4697" spans="1:13">
      <c r="A4697">
        <v>4691</v>
      </c>
      <c r="B4697">
        <v>91293</v>
      </c>
      <c r="C4697" t="s">
        <v>9984</v>
      </c>
      <c r="D4697" t="s">
        <v>213</v>
      </c>
      <c r="E4697" t="s">
        <v>9985</v>
      </c>
      <c r="F4697" t="str">
        <f>"00386806"</f>
        <v>00386806</v>
      </c>
      <c r="G4697" t="s">
        <v>1134</v>
      </c>
      <c r="H4697" t="s">
        <v>20</v>
      </c>
      <c r="I4697">
        <v>1454</v>
      </c>
      <c r="J4697" t="s">
        <v>21</v>
      </c>
      <c r="K4697">
        <v>6</v>
      </c>
      <c r="M4697">
        <v>1328</v>
      </c>
    </row>
    <row r="4698" spans="1:13">
      <c r="A4698">
        <v>4692</v>
      </c>
      <c r="B4698">
        <v>113295</v>
      </c>
      <c r="C4698" t="s">
        <v>9986</v>
      </c>
      <c r="D4698" t="s">
        <v>105</v>
      </c>
      <c r="E4698" t="s">
        <v>9987</v>
      </c>
      <c r="F4698" t="str">
        <f>"00218824"</f>
        <v>00218824</v>
      </c>
      <c r="G4698" t="s">
        <v>502</v>
      </c>
      <c r="H4698" t="s">
        <v>503</v>
      </c>
      <c r="I4698">
        <v>1359</v>
      </c>
      <c r="J4698" t="s">
        <v>21</v>
      </c>
      <c r="K4698">
        <v>0</v>
      </c>
      <c r="L4698" t="s">
        <v>35</v>
      </c>
      <c r="M4698">
        <v>1108</v>
      </c>
    </row>
    <row r="4699" spans="1:13">
      <c r="A4699">
        <v>4693</v>
      </c>
      <c r="B4699">
        <v>110633</v>
      </c>
      <c r="C4699" t="s">
        <v>9988</v>
      </c>
      <c r="D4699" t="s">
        <v>105</v>
      </c>
      <c r="E4699" t="s">
        <v>9989</v>
      </c>
      <c r="F4699" t="str">
        <f>"201406016020"</f>
        <v>201406016020</v>
      </c>
      <c r="G4699" t="s">
        <v>211</v>
      </c>
      <c r="H4699" t="s">
        <v>48</v>
      </c>
      <c r="I4699">
        <v>1628</v>
      </c>
      <c r="J4699" t="s">
        <v>21</v>
      </c>
      <c r="K4699">
        <v>0</v>
      </c>
      <c r="M4699">
        <v>1528</v>
      </c>
    </row>
    <row r="4700" spans="1:13">
      <c r="A4700">
        <v>4694</v>
      </c>
      <c r="B4700">
        <v>82074</v>
      </c>
      <c r="C4700" t="s">
        <v>9990</v>
      </c>
      <c r="D4700" t="s">
        <v>905</v>
      </c>
      <c r="E4700" t="s">
        <v>9991</v>
      </c>
      <c r="F4700" t="str">
        <f>"00252551"</f>
        <v>00252551</v>
      </c>
      <c r="G4700" t="s">
        <v>42</v>
      </c>
      <c r="H4700" t="s">
        <v>43</v>
      </c>
      <c r="I4700">
        <v>1712</v>
      </c>
      <c r="J4700" t="s">
        <v>21</v>
      </c>
      <c r="K4700">
        <v>0</v>
      </c>
      <c r="L4700" t="s">
        <v>112</v>
      </c>
      <c r="M4700">
        <v>921</v>
      </c>
    </row>
    <row r="4701" spans="1:13">
      <c r="A4701">
        <v>4695</v>
      </c>
      <c r="B4701">
        <v>103577</v>
      </c>
      <c r="C4701" t="s">
        <v>9992</v>
      </c>
      <c r="D4701" t="s">
        <v>109</v>
      </c>
      <c r="E4701" t="s">
        <v>9993</v>
      </c>
      <c r="F4701" t="str">
        <f>"00370367"</f>
        <v>00370367</v>
      </c>
      <c r="G4701" t="s">
        <v>955</v>
      </c>
      <c r="H4701" t="s">
        <v>48</v>
      </c>
      <c r="I4701">
        <v>1630</v>
      </c>
      <c r="J4701" t="s">
        <v>21</v>
      </c>
      <c r="K4701">
        <v>0</v>
      </c>
      <c r="L4701" t="s">
        <v>35</v>
      </c>
      <c r="M4701">
        <v>900</v>
      </c>
    </row>
    <row r="4702" spans="1:13">
      <c r="A4702">
        <v>4696</v>
      </c>
      <c r="B4702">
        <v>89599</v>
      </c>
      <c r="C4702" t="s">
        <v>9994</v>
      </c>
      <c r="D4702" t="s">
        <v>563</v>
      </c>
      <c r="E4702" t="s">
        <v>9995</v>
      </c>
      <c r="F4702" t="str">
        <f>"201601000218"</f>
        <v>201601000218</v>
      </c>
      <c r="G4702" t="s">
        <v>87</v>
      </c>
      <c r="H4702" t="s">
        <v>20</v>
      </c>
      <c r="I4702">
        <v>1436</v>
      </c>
      <c r="J4702" t="s">
        <v>21</v>
      </c>
      <c r="K4702">
        <v>0</v>
      </c>
      <c r="L4702" t="s">
        <v>59</v>
      </c>
      <c r="M4702">
        <v>838</v>
      </c>
    </row>
    <row r="4703" spans="1:13">
      <c r="A4703">
        <v>4697</v>
      </c>
      <c r="B4703">
        <v>108309</v>
      </c>
      <c r="C4703" t="s">
        <v>9996</v>
      </c>
      <c r="D4703" t="s">
        <v>80</v>
      </c>
      <c r="E4703" t="s">
        <v>9997</v>
      </c>
      <c r="F4703" t="str">
        <f>"00236847"</f>
        <v>00236847</v>
      </c>
      <c r="G4703" t="s">
        <v>307</v>
      </c>
      <c r="H4703" t="s">
        <v>308</v>
      </c>
      <c r="I4703">
        <v>1589</v>
      </c>
      <c r="J4703" t="s">
        <v>21</v>
      </c>
      <c r="K4703">
        <v>0</v>
      </c>
      <c r="M4703">
        <v>1428</v>
      </c>
    </row>
    <row r="4704" spans="1:13">
      <c r="A4704">
        <v>4698</v>
      </c>
      <c r="B4704">
        <v>91642</v>
      </c>
      <c r="C4704" t="s">
        <v>9998</v>
      </c>
      <c r="D4704" t="s">
        <v>80</v>
      </c>
      <c r="E4704" t="s">
        <v>9999</v>
      </c>
      <c r="F4704" t="str">
        <f>"00192825"</f>
        <v>00192825</v>
      </c>
      <c r="G4704" t="s">
        <v>892</v>
      </c>
      <c r="H4704" t="s">
        <v>20</v>
      </c>
      <c r="I4704">
        <v>1410</v>
      </c>
      <c r="J4704" t="s">
        <v>21</v>
      </c>
      <c r="K4704">
        <v>0</v>
      </c>
      <c r="L4704" t="s">
        <v>59</v>
      </c>
      <c r="M4704">
        <v>868</v>
      </c>
    </row>
    <row r="4705" spans="1:13">
      <c r="A4705">
        <v>4699</v>
      </c>
      <c r="B4705">
        <v>83484</v>
      </c>
      <c r="C4705" t="s">
        <v>10000</v>
      </c>
      <c r="D4705" t="s">
        <v>105</v>
      </c>
      <c r="E4705" t="s">
        <v>10001</v>
      </c>
      <c r="F4705" t="str">
        <f>"00409190"</f>
        <v>00409190</v>
      </c>
      <c r="G4705" t="s">
        <v>47</v>
      </c>
      <c r="H4705" t="s">
        <v>48</v>
      </c>
      <c r="I4705">
        <v>1623</v>
      </c>
      <c r="J4705" t="s">
        <v>21</v>
      </c>
      <c r="K4705">
        <v>0</v>
      </c>
      <c r="M4705">
        <v>1328</v>
      </c>
    </row>
    <row r="4706" spans="1:13">
      <c r="A4706">
        <v>4700</v>
      </c>
      <c r="B4706">
        <v>109685</v>
      </c>
      <c r="C4706" t="s">
        <v>10002</v>
      </c>
      <c r="D4706" t="s">
        <v>238</v>
      </c>
      <c r="E4706" t="s">
        <v>10003</v>
      </c>
      <c r="F4706" t="str">
        <f>"00411044"</f>
        <v>00411044</v>
      </c>
      <c r="G4706" t="s">
        <v>230</v>
      </c>
      <c r="H4706" t="s">
        <v>20</v>
      </c>
      <c r="I4706">
        <v>1545</v>
      </c>
      <c r="J4706" t="s">
        <v>21</v>
      </c>
      <c r="K4706">
        <v>0</v>
      </c>
      <c r="L4706" t="s">
        <v>83</v>
      </c>
      <c r="M4706">
        <v>1438</v>
      </c>
    </row>
    <row r="4707" spans="1:13">
      <c r="A4707">
        <v>4701</v>
      </c>
      <c r="B4707">
        <v>59079</v>
      </c>
      <c r="C4707" t="s">
        <v>10004</v>
      </c>
      <c r="D4707" t="s">
        <v>80</v>
      </c>
      <c r="E4707" t="s">
        <v>10005</v>
      </c>
      <c r="F4707" t="str">
        <f>"00365917"</f>
        <v>00365917</v>
      </c>
      <c r="G4707" t="s">
        <v>47</v>
      </c>
      <c r="H4707" t="s">
        <v>48</v>
      </c>
      <c r="I4707">
        <v>1623</v>
      </c>
      <c r="J4707" t="s">
        <v>21</v>
      </c>
      <c r="K4707">
        <v>0</v>
      </c>
      <c r="M4707">
        <v>1428</v>
      </c>
    </row>
    <row r="4708" spans="1:13">
      <c r="A4708">
        <v>4702</v>
      </c>
      <c r="B4708">
        <v>65114</v>
      </c>
      <c r="C4708" t="s">
        <v>10006</v>
      </c>
      <c r="D4708" t="s">
        <v>566</v>
      </c>
      <c r="E4708" t="s">
        <v>10007</v>
      </c>
      <c r="F4708" t="str">
        <f>"00275665"</f>
        <v>00275665</v>
      </c>
      <c r="G4708" t="s">
        <v>610</v>
      </c>
      <c r="H4708" t="s">
        <v>20</v>
      </c>
      <c r="I4708">
        <v>1429</v>
      </c>
      <c r="J4708" t="s">
        <v>21</v>
      </c>
      <c r="K4708">
        <v>0</v>
      </c>
      <c r="L4708" t="s">
        <v>35</v>
      </c>
      <c r="M4708">
        <v>1009</v>
      </c>
    </row>
    <row r="4709" spans="1:13">
      <c r="A4709">
        <v>4703</v>
      </c>
      <c r="B4709">
        <v>86951</v>
      </c>
      <c r="C4709" t="s">
        <v>10008</v>
      </c>
      <c r="D4709" t="s">
        <v>76</v>
      </c>
      <c r="E4709" t="s">
        <v>10009</v>
      </c>
      <c r="F4709" t="str">
        <f>"00377241"</f>
        <v>00377241</v>
      </c>
      <c r="G4709" t="s">
        <v>1345</v>
      </c>
      <c r="H4709" t="s">
        <v>137</v>
      </c>
      <c r="I4709">
        <v>1606</v>
      </c>
      <c r="J4709" t="s">
        <v>21</v>
      </c>
      <c r="K4709">
        <v>0</v>
      </c>
      <c r="M4709">
        <v>2038</v>
      </c>
    </row>
    <row r="4710" spans="1:13">
      <c r="A4710">
        <v>4704</v>
      </c>
      <c r="B4710">
        <v>49295</v>
      </c>
      <c r="C4710" t="s">
        <v>10008</v>
      </c>
      <c r="D4710" t="s">
        <v>1327</v>
      </c>
      <c r="E4710" t="s">
        <v>10010</v>
      </c>
      <c r="F4710" t="str">
        <f>"201507003125"</f>
        <v>201507003125</v>
      </c>
      <c r="G4710" t="s">
        <v>365</v>
      </c>
      <c r="H4710" t="s">
        <v>366</v>
      </c>
      <c r="I4710">
        <v>1692</v>
      </c>
      <c r="J4710" t="s">
        <v>21</v>
      </c>
      <c r="K4710">
        <v>0</v>
      </c>
      <c r="L4710" t="s">
        <v>35</v>
      </c>
      <c r="M4710">
        <v>908</v>
      </c>
    </row>
    <row r="4711" spans="1:13">
      <c r="A4711">
        <v>4705</v>
      </c>
      <c r="B4711">
        <v>62056</v>
      </c>
      <c r="C4711" t="s">
        <v>10011</v>
      </c>
      <c r="D4711" t="s">
        <v>145</v>
      </c>
      <c r="E4711" t="s">
        <v>10012</v>
      </c>
      <c r="F4711" t="str">
        <f>"00362401"</f>
        <v>00362401</v>
      </c>
      <c r="G4711" t="s">
        <v>3100</v>
      </c>
      <c r="H4711" t="s">
        <v>20</v>
      </c>
      <c r="I4711">
        <v>1536</v>
      </c>
      <c r="J4711" t="s">
        <v>21</v>
      </c>
      <c r="K4711">
        <v>6</v>
      </c>
      <c r="M4711">
        <v>1793</v>
      </c>
    </row>
    <row r="4712" spans="1:13">
      <c r="A4712">
        <v>4706</v>
      </c>
      <c r="B4712">
        <v>76209</v>
      </c>
      <c r="C4712" t="s">
        <v>10013</v>
      </c>
      <c r="D4712" t="s">
        <v>76</v>
      </c>
      <c r="E4712" t="s">
        <v>10014</v>
      </c>
      <c r="F4712" t="str">
        <f>"201511018965"</f>
        <v>201511018965</v>
      </c>
      <c r="G4712" t="s">
        <v>2448</v>
      </c>
      <c r="H4712" t="s">
        <v>20</v>
      </c>
      <c r="I4712">
        <v>1428</v>
      </c>
      <c r="J4712" t="s">
        <v>21</v>
      </c>
      <c r="K4712">
        <v>0</v>
      </c>
      <c r="M4712">
        <v>1488</v>
      </c>
    </row>
    <row r="4713" spans="1:13">
      <c r="A4713">
        <v>4707</v>
      </c>
      <c r="B4713">
        <v>46961</v>
      </c>
      <c r="C4713" t="s">
        <v>10015</v>
      </c>
      <c r="D4713" t="s">
        <v>153</v>
      </c>
      <c r="E4713" t="s">
        <v>10016</v>
      </c>
      <c r="F4713" t="str">
        <f>"00368448"</f>
        <v>00368448</v>
      </c>
      <c r="G4713" t="s">
        <v>111</v>
      </c>
      <c r="H4713" t="s">
        <v>48</v>
      </c>
      <c r="I4713">
        <v>1620</v>
      </c>
      <c r="J4713" t="s">
        <v>21</v>
      </c>
      <c r="K4713">
        <v>0</v>
      </c>
      <c r="M4713">
        <v>1338</v>
      </c>
    </row>
    <row r="4714" spans="1:13">
      <c r="A4714">
        <v>4708</v>
      </c>
      <c r="B4714">
        <v>106956</v>
      </c>
      <c r="C4714" t="s">
        <v>10017</v>
      </c>
      <c r="D4714" t="s">
        <v>243</v>
      </c>
      <c r="E4714" t="s">
        <v>10018</v>
      </c>
      <c r="F4714" t="str">
        <f>"00080299"</f>
        <v>00080299</v>
      </c>
      <c r="G4714" t="s">
        <v>610</v>
      </c>
      <c r="H4714" t="s">
        <v>20</v>
      </c>
      <c r="I4714">
        <v>1429</v>
      </c>
      <c r="J4714" t="s">
        <v>21</v>
      </c>
      <c r="K4714">
        <v>0</v>
      </c>
      <c r="L4714" t="s">
        <v>59</v>
      </c>
      <c r="M4714">
        <v>1228</v>
      </c>
    </row>
    <row r="4715" spans="1:13">
      <c r="A4715">
        <v>4709</v>
      </c>
      <c r="B4715">
        <v>99868</v>
      </c>
      <c r="C4715" t="s">
        <v>10019</v>
      </c>
      <c r="D4715" t="s">
        <v>65</v>
      </c>
      <c r="E4715" t="s">
        <v>10020</v>
      </c>
      <c r="F4715" t="str">
        <f>"00176120"</f>
        <v>00176120</v>
      </c>
      <c r="G4715" t="s">
        <v>1498</v>
      </c>
      <c r="H4715" t="s">
        <v>1499</v>
      </c>
      <c r="I4715">
        <v>1598</v>
      </c>
      <c r="J4715" t="s">
        <v>21</v>
      </c>
      <c r="K4715">
        <v>6</v>
      </c>
      <c r="M4715">
        <v>1803</v>
      </c>
    </row>
    <row r="4716" spans="1:13">
      <c r="A4716">
        <v>4710</v>
      </c>
      <c r="B4716">
        <v>113930</v>
      </c>
      <c r="C4716" t="s">
        <v>10021</v>
      </c>
      <c r="D4716" t="s">
        <v>105</v>
      </c>
      <c r="E4716" t="s">
        <v>10022</v>
      </c>
      <c r="F4716" t="str">
        <f>"00415663"</f>
        <v>00415663</v>
      </c>
      <c r="G4716" t="s">
        <v>7406</v>
      </c>
      <c r="H4716" t="s">
        <v>1610</v>
      </c>
      <c r="I4716">
        <v>1307</v>
      </c>
      <c r="J4716" t="s">
        <v>21</v>
      </c>
      <c r="K4716">
        <v>0</v>
      </c>
      <c r="L4716" t="s">
        <v>35</v>
      </c>
      <c r="M4716">
        <v>1175</v>
      </c>
    </row>
    <row r="4717" spans="1:13">
      <c r="A4717">
        <v>4711</v>
      </c>
      <c r="B4717">
        <v>57972</v>
      </c>
      <c r="C4717" t="s">
        <v>10023</v>
      </c>
      <c r="D4717" t="s">
        <v>76</v>
      </c>
      <c r="E4717" t="s">
        <v>10024</v>
      </c>
      <c r="F4717" t="str">
        <f>"00294340"</f>
        <v>00294340</v>
      </c>
      <c r="G4717" t="s">
        <v>255</v>
      </c>
      <c r="H4717" t="s">
        <v>20</v>
      </c>
      <c r="I4717">
        <v>1513</v>
      </c>
      <c r="J4717" t="s">
        <v>21</v>
      </c>
      <c r="K4717">
        <v>6</v>
      </c>
      <c r="L4717" t="s">
        <v>35</v>
      </c>
      <c r="M4717">
        <v>850</v>
      </c>
    </row>
    <row r="4718" spans="1:13">
      <c r="A4718">
        <v>4712</v>
      </c>
      <c r="B4718">
        <v>80795</v>
      </c>
      <c r="C4718" t="s">
        <v>10025</v>
      </c>
      <c r="D4718" t="s">
        <v>153</v>
      </c>
      <c r="E4718" t="s">
        <v>10026</v>
      </c>
      <c r="F4718" t="str">
        <f>"00077042"</f>
        <v>00077042</v>
      </c>
      <c r="G4718" t="s">
        <v>2025</v>
      </c>
      <c r="H4718" t="s">
        <v>274</v>
      </c>
      <c r="I4718">
        <v>1392</v>
      </c>
      <c r="J4718" t="s">
        <v>21</v>
      </c>
      <c r="K4718">
        <v>6</v>
      </c>
      <c r="M4718">
        <v>1748</v>
      </c>
    </row>
    <row r="4719" spans="1:13">
      <c r="A4719">
        <v>4713</v>
      </c>
      <c r="B4719">
        <v>86909</v>
      </c>
      <c r="C4719" t="s">
        <v>10027</v>
      </c>
      <c r="D4719" t="s">
        <v>80</v>
      </c>
      <c r="E4719" t="s">
        <v>10028</v>
      </c>
      <c r="F4719" t="str">
        <f>"00087401"</f>
        <v>00087401</v>
      </c>
      <c r="G4719" t="s">
        <v>87</v>
      </c>
      <c r="H4719" t="s">
        <v>1671</v>
      </c>
      <c r="I4719">
        <v>1716</v>
      </c>
      <c r="J4719" t="s">
        <v>21</v>
      </c>
      <c r="K4719">
        <v>0</v>
      </c>
      <c r="L4719" t="s">
        <v>59</v>
      </c>
      <c r="M4719">
        <v>1308</v>
      </c>
    </row>
    <row r="4720" spans="1:13">
      <c r="A4720">
        <v>4714</v>
      </c>
      <c r="B4720">
        <v>47088</v>
      </c>
      <c r="C4720" t="s">
        <v>10029</v>
      </c>
      <c r="D4720" t="s">
        <v>80</v>
      </c>
      <c r="E4720" t="s">
        <v>10030</v>
      </c>
      <c r="F4720" t="str">
        <f>"00246827"</f>
        <v>00246827</v>
      </c>
      <c r="G4720" t="s">
        <v>561</v>
      </c>
      <c r="H4720" t="s">
        <v>20</v>
      </c>
      <c r="I4720">
        <v>1574</v>
      </c>
      <c r="J4720" t="s">
        <v>21</v>
      </c>
      <c r="K4720">
        <v>0</v>
      </c>
      <c r="M4720">
        <v>1409</v>
      </c>
    </row>
    <row r="4721" spans="1:13">
      <c r="A4721">
        <v>4715</v>
      </c>
      <c r="B4721">
        <v>88388</v>
      </c>
      <c r="C4721" t="s">
        <v>10031</v>
      </c>
      <c r="D4721" t="s">
        <v>90</v>
      </c>
      <c r="E4721" t="s">
        <v>10032</v>
      </c>
      <c r="F4721" t="str">
        <f>"00391514"</f>
        <v>00391514</v>
      </c>
      <c r="G4721" t="s">
        <v>1595</v>
      </c>
      <c r="H4721" t="s">
        <v>20</v>
      </c>
      <c r="I4721">
        <v>1538</v>
      </c>
      <c r="J4721" t="s">
        <v>21</v>
      </c>
      <c r="K4721">
        <v>6</v>
      </c>
      <c r="L4721" t="s">
        <v>35</v>
      </c>
      <c r="M4721">
        <v>650</v>
      </c>
    </row>
    <row r="4722" spans="1:13">
      <c r="A4722">
        <v>4716</v>
      </c>
      <c r="B4722">
        <v>82404</v>
      </c>
      <c r="C4722" t="s">
        <v>10033</v>
      </c>
      <c r="D4722" t="s">
        <v>243</v>
      </c>
      <c r="E4722" t="s">
        <v>10034</v>
      </c>
      <c r="F4722" t="str">
        <f>"00408866"</f>
        <v>00408866</v>
      </c>
      <c r="G4722" t="s">
        <v>47</v>
      </c>
      <c r="H4722" t="s">
        <v>48</v>
      </c>
      <c r="I4722">
        <v>1623</v>
      </c>
      <c r="J4722" t="s">
        <v>21</v>
      </c>
      <c r="K4722">
        <v>0</v>
      </c>
      <c r="L4722" t="s">
        <v>88</v>
      </c>
      <c r="M4722">
        <v>608</v>
      </c>
    </row>
    <row r="4723" spans="1:13">
      <c r="A4723">
        <v>4717</v>
      </c>
      <c r="B4723">
        <v>88610</v>
      </c>
      <c r="C4723" t="s">
        <v>10035</v>
      </c>
      <c r="D4723" t="s">
        <v>153</v>
      </c>
      <c r="E4723" t="s">
        <v>10036</v>
      </c>
      <c r="F4723" t="str">
        <f>"00377983"</f>
        <v>00377983</v>
      </c>
      <c r="G4723" t="s">
        <v>502</v>
      </c>
      <c r="H4723" t="s">
        <v>503</v>
      </c>
      <c r="I4723">
        <v>1359</v>
      </c>
      <c r="J4723" t="s">
        <v>21</v>
      </c>
      <c r="K4723">
        <v>0</v>
      </c>
      <c r="M4723">
        <v>1528</v>
      </c>
    </row>
    <row r="4724" spans="1:13">
      <c r="A4724">
        <v>4718</v>
      </c>
      <c r="B4724">
        <v>74056</v>
      </c>
      <c r="C4724" t="s">
        <v>10037</v>
      </c>
      <c r="D4724" t="s">
        <v>153</v>
      </c>
      <c r="E4724" t="s">
        <v>10038</v>
      </c>
      <c r="F4724" t="str">
        <f>"00409131"</f>
        <v>00409131</v>
      </c>
      <c r="G4724" t="s">
        <v>107</v>
      </c>
      <c r="H4724" t="s">
        <v>20</v>
      </c>
      <c r="I4724">
        <v>1472</v>
      </c>
      <c r="J4724" t="s">
        <v>21</v>
      </c>
      <c r="K4724">
        <v>0</v>
      </c>
      <c r="L4724" t="s">
        <v>35</v>
      </c>
      <c r="M4724">
        <v>908</v>
      </c>
    </row>
    <row r="4725" spans="1:13">
      <c r="A4725">
        <v>4719</v>
      </c>
      <c r="B4725">
        <v>62050</v>
      </c>
      <c r="C4725" t="s">
        <v>10039</v>
      </c>
      <c r="D4725" t="s">
        <v>105</v>
      </c>
      <c r="E4725" t="s">
        <v>10040</v>
      </c>
      <c r="F4725" t="str">
        <f>"201402010164"</f>
        <v>201402010164</v>
      </c>
      <c r="G4725" t="s">
        <v>2817</v>
      </c>
      <c r="H4725" t="s">
        <v>20</v>
      </c>
      <c r="I4725">
        <v>1493</v>
      </c>
      <c r="J4725" t="s">
        <v>21</v>
      </c>
      <c r="K4725">
        <v>0</v>
      </c>
      <c r="M4725">
        <v>1413</v>
      </c>
    </row>
    <row r="4726" spans="1:13">
      <c r="A4726">
        <v>4720</v>
      </c>
      <c r="B4726">
        <v>69187</v>
      </c>
      <c r="C4726" t="s">
        <v>10041</v>
      </c>
      <c r="D4726" t="s">
        <v>80</v>
      </c>
      <c r="E4726" t="s">
        <v>10042</v>
      </c>
      <c r="F4726" t="str">
        <f>"00046323"</f>
        <v>00046323</v>
      </c>
      <c r="G4726" t="s">
        <v>446</v>
      </c>
      <c r="H4726" t="s">
        <v>137</v>
      </c>
      <c r="I4726">
        <v>1602</v>
      </c>
      <c r="J4726" t="s">
        <v>21</v>
      </c>
      <c r="K4726">
        <v>0</v>
      </c>
      <c r="L4726" t="s">
        <v>35</v>
      </c>
      <c r="M4726">
        <v>908</v>
      </c>
    </row>
    <row r="4727" spans="1:13">
      <c r="A4727">
        <v>4721</v>
      </c>
      <c r="B4727">
        <v>80606</v>
      </c>
      <c r="C4727" t="s">
        <v>10043</v>
      </c>
      <c r="D4727" t="s">
        <v>105</v>
      </c>
      <c r="E4727" t="s">
        <v>10044</v>
      </c>
      <c r="F4727" t="str">
        <f>"00416636"</f>
        <v>00416636</v>
      </c>
      <c r="G4727" t="s">
        <v>352</v>
      </c>
      <c r="H4727" t="s">
        <v>20</v>
      </c>
      <c r="I4727">
        <v>1471</v>
      </c>
      <c r="J4727" t="s">
        <v>21</v>
      </c>
      <c r="K4727">
        <v>0</v>
      </c>
      <c r="M4727">
        <v>1493</v>
      </c>
    </row>
    <row r="4728" spans="1:13">
      <c r="A4728">
        <v>4722</v>
      </c>
      <c r="B4728">
        <v>54304</v>
      </c>
      <c r="C4728" t="s">
        <v>10045</v>
      </c>
      <c r="D4728" t="s">
        <v>198</v>
      </c>
      <c r="E4728" t="s">
        <v>10046</v>
      </c>
      <c r="F4728" t="str">
        <f>"201511007681"</f>
        <v>201511007681</v>
      </c>
      <c r="G4728" t="s">
        <v>488</v>
      </c>
      <c r="H4728" t="s">
        <v>20</v>
      </c>
      <c r="I4728">
        <v>1482</v>
      </c>
      <c r="J4728" t="s">
        <v>21</v>
      </c>
      <c r="K4728">
        <v>0</v>
      </c>
      <c r="M4728">
        <v>1298</v>
      </c>
    </row>
    <row r="4729" spans="1:13">
      <c r="A4729">
        <v>4723</v>
      </c>
      <c r="B4729">
        <v>57493</v>
      </c>
      <c r="C4729" t="s">
        <v>10047</v>
      </c>
      <c r="D4729" t="s">
        <v>102</v>
      </c>
      <c r="E4729" t="s">
        <v>10048</v>
      </c>
      <c r="F4729" t="str">
        <f>"00359855"</f>
        <v>00359855</v>
      </c>
      <c r="G4729" t="s">
        <v>576</v>
      </c>
      <c r="H4729" t="s">
        <v>535</v>
      </c>
      <c r="I4729">
        <v>1666</v>
      </c>
      <c r="J4729" t="s">
        <v>21</v>
      </c>
      <c r="K4729">
        <v>6</v>
      </c>
      <c r="L4729" t="s">
        <v>35</v>
      </c>
      <c r="M4729">
        <v>908</v>
      </c>
    </row>
    <row r="4730" spans="1:13">
      <c r="A4730">
        <v>4724</v>
      </c>
      <c r="B4730">
        <v>99995</v>
      </c>
      <c r="C4730" t="s">
        <v>10049</v>
      </c>
      <c r="D4730" t="s">
        <v>105</v>
      </c>
      <c r="E4730" t="s">
        <v>10050</v>
      </c>
      <c r="F4730" t="str">
        <f>"00398476"</f>
        <v>00398476</v>
      </c>
      <c r="G4730" t="s">
        <v>676</v>
      </c>
      <c r="H4730" t="s">
        <v>234</v>
      </c>
      <c r="I4730">
        <v>1338</v>
      </c>
      <c r="J4730" t="s">
        <v>21</v>
      </c>
      <c r="K4730">
        <v>6</v>
      </c>
      <c r="L4730" t="s">
        <v>35</v>
      </c>
      <c r="M4730">
        <v>1108</v>
      </c>
    </row>
    <row r="4731" spans="1:13">
      <c r="A4731">
        <v>4725</v>
      </c>
      <c r="B4731">
        <v>78423</v>
      </c>
      <c r="C4731" t="s">
        <v>10051</v>
      </c>
      <c r="D4731" t="s">
        <v>105</v>
      </c>
      <c r="E4731" t="s">
        <v>10052</v>
      </c>
      <c r="F4731" t="str">
        <f>"00026163"</f>
        <v>00026163</v>
      </c>
      <c r="G4731" t="s">
        <v>215</v>
      </c>
      <c r="H4731" t="s">
        <v>216</v>
      </c>
      <c r="I4731">
        <v>1708</v>
      </c>
      <c r="J4731" t="s">
        <v>21</v>
      </c>
      <c r="K4731">
        <v>6</v>
      </c>
      <c r="M4731">
        <v>1288</v>
      </c>
    </row>
    <row r="4732" spans="1:13">
      <c r="A4732">
        <v>4726</v>
      </c>
      <c r="B4732">
        <v>55413</v>
      </c>
      <c r="C4732" t="s">
        <v>10053</v>
      </c>
      <c r="D4732" t="s">
        <v>249</v>
      </c>
      <c r="E4732" t="s">
        <v>10054</v>
      </c>
      <c r="F4732" t="str">
        <f>"00367862"</f>
        <v>00367862</v>
      </c>
      <c r="G4732" t="s">
        <v>190</v>
      </c>
      <c r="H4732" t="s">
        <v>191</v>
      </c>
      <c r="I4732">
        <v>1618</v>
      </c>
      <c r="J4732" t="s">
        <v>21</v>
      </c>
      <c r="K4732">
        <v>0</v>
      </c>
      <c r="M4732">
        <v>1688</v>
      </c>
    </row>
    <row r="4733" spans="1:13">
      <c r="A4733">
        <v>4727</v>
      </c>
      <c r="B4733">
        <v>72687</v>
      </c>
      <c r="C4733" t="s">
        <v>10055</v>
      </c>
      <c r="D4733" t="s">
        <v>10056</v>
      </c>
      <c r="E4733" t="s">
        <v>10057</v>
      </c>
      <c r="F4733" t="str">
        <f>"00385390"</f>
        <v>00385390</v>
      </c>
      <c r="G4733" t="s">
        <v>38</v>
      </c>
      <c r="H4733" t="s">
        <v>39</v>
      </c>
      <c r="I4733">
        <v>1634</v>
      </c>
      <c r="J4733" t="s">
        <v>21</v>
      </c>
      <c r="K4733">
        <v>6</v>
      </c>
      <c r="L4733" t="s">
        <v>83</v>
      </c>
      <c r="M4733">
        <v>888</v>
      </c>
    </row>
    <row r="4734" spans="1:13">
      <c r="A4734">
        <v>4728</v>
      </c>
      <c r="B4734">
        <v>50691</v>
      </c>
      <c r="C4734" t="s">
        <v>10058</v>
      </c>
      <c r="D4734" t="s">
        <v>105</v>
      </c>
      <c r="E4734" t="s">
        <v>10059</v>
      </c>
      <c r="F4734" t="str">
        <f>"00183849"</f>
        <v>00183849</v>
      </c>
      <c r="G4734" t="s">
        <v>1742</v>
      </c>
      <c r="H4734" t="s">
        <v>241</v>
      </c>
      <c r="I4734">
        <v>1365</v>
      </c>
      <c r="J4734" t="s">
        <v>21</v>
      </c>
      <c r="K4734">
        <v>0</v>
      </c>
      <c r="M4734">
        <v>1338</v>
      </c>
    </row>
    <row r="4735" spans="1:13">
      <c r="A4735">
        <v>4729</v>
      </c>
      <c r="B4735">
        <v>68788</v>
      </c>
      <c r="C4735" t="s">
        <v>10060</v>
      </c>
      <c r="D4735" t="s">
        <v>243</v>
      </c>
      <c r="E4735" t="s">
        <v>10061</v>
      </c>
      <c r="F4735" t="str">
        <f>"00388376"</f>
        <v>00388376</v>
      </c>
      <c r="G4735" t="s">
        <v>47</v>
      </c>
      <c r="H4735" t="s">
        <v>48</v>
      </c>
      <c r="I4735">
        <v>1623</v>
      </c>
      <c r="J4735" t="s">
        <v>21</v>
      </c>
      <c r="K4735">
        <v>0</v>
      </c>
      <c r="L4735" t="s">
        <v>112</v>
      </c>
      <c r="M4735">
        <v>836</v>
      </c>
    </row>
    <row r="4736" spans="1:13">
      <c r="A4736">
        <v>4730</v>
      </c>
      <c r="B4736">
        <v>91669</v>
      </c>
      <c r="C4736" t="s">
        <v>10062</v>
      </c>
      <c r="D4736" t="s">
        <v>243</v>
      </c>
      <c r="E4736" t="s">
        <v>10063</v>
      </c>
      <c r="F4736" t="str">
        <f>"00382451"</f>
        <v>00382451</v>
      </c>
      <c r="G4736" t="s">
        <v>733</v>
      </c>
      <c r="H4736" t="s">
        <v>734</v>
      </c>
      <c r="I4736">
        <v>1596</v>
      </c>
      <c r="J4736" t="s">
        <v>21</v>
      </c>
      <c r="K4736">
        <v>0</v>
      </c>
      <c r="L4736" t="s">
        <v>88</v>
      </c>
      <c r="M4736">
        <v>700</v>
      </c>
    </row>
    <row r="4737" spans="1:13">
      <c r="A4737">
        <v>4731</v>
      </c>
      <c r="B4737">
        <v>101956</v>
      </c>
      <c r="C4737" t="s">
        <v>10064</v>
      </c>
      <c r="D4737" t="s">
        <v>145</v>
      </c>
      <c r="E4737" t="s">
        <v>10065</v>
      </c>
      <c r="F4737" t="str">
        <f>"00398798"</f>
        <v>00398798</v>
      </c>
      <c r="G4737" t="s">
        <v>111</v>
      </c>
      <c r="H4737" t="s">
        <v>48</v>
      </c>
      <c r="I4737">
        <v>1620</v>
      </c>
      <c r="J4737" t="s">
        <v>21</v>
      </c>
      <c r="K4737">
        <v>0</v>
      </c>
      <c r="M4737">
        <v>1388</v>
      </c>
    </row>
    <row r="4738" spans="1:13">
      <c r="A4738">
        <v>4732</v>
      </c>
      <c r="B4738">
        <v>61800</v>
      </c>
      <c r="C4738" t="s">
        <v>10066</v>
      </c>
      <c r="D4738" t="s">
        <v>80</v>
      </c>
      <c r="E4738" t="s">
        <v>10067</v>
      </c>
      <c r="F4738" t="str">
        <f>"00367153"</f>
        <v>00367153</v>
      </c>
      <c r="G4738" t="s">
        <v>465</v>
      </c>
      <c r="H4738" t="s">
        <v>20</v>
      </c>
      <c r="I4738">
        <v>1534</v>
      </c>
      <c r="J4738" t="s">
        <v>21</v>
      </c>
      <c r="K4738">
        <v>0</v>
      </c>
      <c r="L4738" t="s">
        <v>112</v>
      </c>
      <c r="M4738">
        <v>808</v>
      </c>
    </row>
    <row r="4739" spans="1:13">
      <c r="A4739">
        <v>4733</v>
      </c>
      <c r="B4739">
        <v>111245</v>
      </c>
      <c r="C4739" t="s">
        <v>10068</v>
      </c>
      <c r="D4739" t="s">
        <v>243</v>
      </c>
      <c r="E4739" t="s">
        <v>10069</v>
      </c>
      <c r="F4739" t="str">
        <f>"00100969"</f>
        <v>00100969</v>
      </c>
      <c r="G4739" t="s">
        <v>955</v>
      </c>
      <c r="H4739" t="s">
        <v>48</v>
      </c>
      <c r="I4739">
        <v>1630</v>
      </c>
      <c r="J4739" t="s">
        <v>21</v>
      </c>
      <c r="K4739">
        <v>0</v>
      </c>
      <c r="M4739">
        <v>1338</v>
      </c>
    </row>
    <row r="4740" spans="1:13">
      <c r="A4740">
        <v>4734</v>
      </c>
      <c r="B4740">
        <v>67132</v>
      </c>
      <c r="C4740" t="s">
        <v>10070</v>
      </c>
      <c r="D4740" t="s">
        <v>10071</v>
      </c>
      <c r="E4740" t="s">
        <v>10072</v>
      </c>
      <c r="F4740" t="str">
        <f>"00402416"</f>
        <v>00402416</v>
      </c>
      <c r="G4740" t="s">
        <v>70</v>
      </c>
      <c r="H4740" t="s">
        <v>71</v>
      </c>
      <c r="I4740">
        <v>1702</v>
      </c>
      <c r="J4740" t="s">
        <v>21</v>
      </c>
      <c r="K4740">
        <v>0</v>
      </c>
      <c r="L4740" t="s">
        <v>35</v>
      </c>
      <c r="M4740">
        <v>1008</v>
      </c>
    </row>
    <row r="4741" spans="1:13">
      <c r="A4741">
        <v>4735</v>
      </c>
      <c r="B4741">
        <v>85229</v>
      </c>
      <c r="C4741" t="s">
        <v>10073</v>
      </c>
      <c r="D4741" t="s">
        <v>3905</v>
      </c>
      <c r="E4741" t="s">
        <v>10074</v>
      </c>
      <c r="F4741" t="str">
        <f>"00390026"</f>
        <v>00390026</v>
      </c>
      <c r="G4741" t="s">
        <v>856</v>
      </c>
      <c r="H4741" t="s">
        <v>366</v>
      </c>
      <c r="I4741">
        <v>1706</v>
      </c>
      <c r="J4741" t="s">
        <v>21</v>
      </c>
      <c r="K4741">
        <v>0</v>
      </c>
      <c r="L4741" t="s">
        <v>35</v>
      </c>
      <c r="M4741">
        <v>989</v>
      </c>
    </row>
    <row r="4742" spans="1:13">
      <c r="A4742">
        <v>4736</v>
      </c>
      <c r="B4742">
        <v>68382</v>
      </c>
      <c r="C4742" t="s">
        <v>10075</v>
      </c>
      <c r="D4742" t="s">
        <v>10076</v>
      </c>
      <c r="E4742" t="s">
        <v>10077</v>
      </c>
      <c r="F4742" t="str">
        <f>"00366607"</f>
        <v>00366607</v>
      </c>
      <c r="G4742" t="s">
        <v>299</v>
      </c>
      <c r="H4742" t="s">
        <v>20</v>
      </c>
      <c r="I4742">
        <v>1490</v>
      </c>
      <c r="J4742" t="s">
        <v>21</v>
      </c>
      <c r="K4742">
        <v>0</v>
      </c>
      <c r="M4742">
        <v>1388</v>
      </c>
    </row>
    <row r="4743" spans="1:13">
      <c r="A4743">
        <v>4737</v>
      </c>
      <c r="B4743">
        <v>97745</v>
      </c>
      <c r="C4743" t="s">
        <v>10078</v>
      </c>
      <c r="D4743" t="s">
        <v>85</v>
      </c>
      <c r="E4743" t="s">
        <v>10079</v>
      </c>
      <c r="F4743" t="str">
        <f>"00399836"</f>
        <v>00399836</v>
      </c>
      <c r="G4743" t="s">
        <v>4510</v>
      </c>
      <c r="H4743" t="s">
        <v>20</v>
      </c>
      <c r="I4743">
        <v>1511</v>
      </c>
      <c r="J4743" t="s">
        <v>21</v>
      </c>
      <c r="K4743">
        <v>7</v>
      </c>
      <c r="L4743" t="s">
        <v>35</v>
      </c>
      <c r="M4743">
        <v>1108</v>
      </c>
    </row>
    <row r="4744" spans="1:13">
      <c r="A4744">
        <v>4738</v>
      </c>
      <c r="B4744">
        <v>100253</v>
      </c>
      <c r="C4744" t="s">
        <v>10080</v>
      </c>
      <c r="D4744" t="s">
        <v>145</v>
      </c>
      <c r="E4744" t="s">
        <v>10081</v>
      </c>
      <c r="F4744" t="str">
        <f>"00083615"</f>
        <v>00083615</v>
      </c>
      <c r="G4744" t="s">
        <v>170</v>
      </c>
      <c r="H4744" t="s">
        <v>738</v>
      </c>
      <c r="I4744">
        <v>1643</v>
      </c>
      <c r="J4744" t="s">
        <v>21</v>
      </c>
      <c r="K4744">
        <v>0</v>
      </c>
      <c r="M4744">
        <v>1428</v>
      </c>
    </row>
    <row r="4745" spans="1:13">
      <c r="A4745">
        <v>4739</v>
      </c>
      <c r="B4745">
        <v>46596</v>
      </c>
      <c r="C4745" t="s">
        <v>10082</v>
      </c>
      <c r="D4745" t="s">
        <v>80</v>
      </c>
      <c r="E4745" t="s">
        <v>10083</v>
      </c>
      <c r="F4745" t="str">
        <f>"00248950"</f>
        <v>00248950</v>
      </c>
      <c r="G4745" t="s">
        <v>96</v>
      </c>
      <c r="H4745" t="s">
        <v>20</v>
      </c>
      <c r="I4745">
        <v>1474</v>
      </c>
      <c r="J4745" t="s">
        <v>21</v>
      </c>
      <c r="K4745">
        <v>0</v>
      </c>
      <c r="L4745" t="s">
        <v>59</v>
      </c>
      <c r="M4745">
        <v>1228</v>
      </c>
    </row>
    <row r="4746" spans="1:13">
      <c r="A4746">
        <v>4740</v>
      </c>
      <c r="B4746">
        <v>99420</v>
      </c>
      <c r="C4746" t="s">
        <v>10084</v>
      </c>
      <c r="D4746" t="s">
        <v>655</v>
      </c>
      <c r="E4746" t="s">
        <v>10085</v>
      </c>
      <c r="F4746" t="str">
        <f>"00394811"</f>
        <v>00394811</v>
      </c>
      <c r="G4746" t="s">
        <v>488</v>
      </c>
      <c r="H4746" t="s">
        <v>20</v>
      </c>
      <c r="I4746">
        <v>1482</v>
      </c>
      <c r="J4746" t="s">
        <v>21</v>
      </c>
      <c r="K4746">
        <v>0</v>
      </c>
      <c r="L4746" t="s">
        <v>88</v>
      </c>
      <c r="M4746">
        <v>650</v>
      </c>
    </row>
    <row r="4747" spans="1:13">
      <c r="A4747">
        <v>4741</v>
      </c>
      <c r="B4747">
        <v>95602</v>
      </c>
      <c r="C4747" t="s">
        <v>10086</v>
      </c>
      <c r="D4747" t="s">
        <v>98</v>
      </c>
      <c r="E4747" t="s">
        <v>10087</v>
      </c>
      <c r="F4747" t="str">
        <f>"201502001893"</f>
        <v>201502001893</v>
      </c>
      <c r="G4747" t="s">
        <v>488</v>
      </c>
      <c r="H4747" t="s">
        <v>20</v>
      </c>
      <c r="I4747">
        <v>1482</v>
      </c>
      <c r="J4747" t="s">
        <v>21</v>
      </c>
      <c r="K4747">
        <v>0</v>
      </c>
      <c r="L4747" t="s">
        <v>25</v>
      </c>
      <c r="M4747">
        <v>1228</v>
      </c>
    </row>
    <row r="4748" spans="1:13">
      <c r="A4748">
        <v>4742</v>
      </c>
      <c r="B4748">
        <v>108992</v>
      </c>
      <c r="C4748" t="s">
        <v>10088</v>
      </c>
      <c r="D4748" t="s">
        <v>10089</v>
      </c>
      <c r="E4748" t="s">
        <v>10090</v>
      </c>
      <c r="F4748" t="str">
        <f>"00417312"</f>
        <v>00417312</v>
      </c>
      <c r="G4748" t="s">
        <v>19</v>
      </c>
      <c r="H4748" t="s">
        <v>20</v>
      </c>
      <c r="I4748">
        <v>1531</v>
      </c>
      <c r="J4748" t="s">
        <v>21</v>
      </c>
      <c r="K4748">
        <v>0</v>
      </c>
      <c r="L4748" t="s">
        <v>35</v>
      </c>
      <c r="M4748">
        <v>972</v>
      </c>
    </row>
    <row r="4749" spans="1:13">
      <c r="A4749">
        <v>4743</v>
      </c>
      <c r="B4749">
        <v>90418</v>
      </c>
      <c r="C4749" t="s">
        <v>10091</v>
      </c>
      <c r="D4749" t="s">
        <v>180</v>
      </c>
      <c r="E4749" t="s">
        <v>10092</v>
      </c>
      <c r="F4749" t="str">
        <f>"201511010197"</f>
        <v>201511010197</v>
      </c>
      <c r="G4749" t="s">
        <v>2305</v>
      </c>
      <c r="H4749" t="s">
        <v>2306</v>
      </c>
      <c r="I4749">
        <v>1369</v>
      </c>
      <c r="J4749" t="s">
        <v>21</v>
      </c>
      <c r="K4749">
        <v>0</v>
      </c>
      <c r="L4749" t="s">
        <v>83</v>
      </c>
      <c r="M4749">
        <v>1188</v>
      </c>
    </row>
    <row r="4750" spans="1:13">
      <c r="A4750">
        <v>4744</v>
      </c>
      <c r="B4750">
        <v>57189</v>
      </c>
      <c r="C4750" t="s">
        <v>10093</v>
      </c>
      <c r="D4750" t="s">
        <v>2021</v>
      </c>
      <c r="E4750" t="s">
        <v>10094</v>
      </c>
      <c r="F4750" t="str">
        <f>"00006500"</f>
        <v>00006500</v>
      </c>
      <c r="G4750" t="s">
        <v>1165</v>
      </c>
      <c r="H4750" t="s">
        <v>20</v>
      </c>
      <c r="I4750">
        <v>1422</v>
      </c>
      <c r="J4750" t="s">
        <v>21</v>
      </c>
      <c r="K4750">
        <v>0</v>
      </c>
      <c r="L4750" t="s">
        <v>59</v>
      </c>
      <c r="M4750">
        <v>1096</v>
      </c>
    </row>
    <row r="4751" spans="1:13">
      <c r="A4751">
        <v>4745</v>
      </c>
      <c r="B4751">
        <v>70548</v>
      </c>
      <c r="C4751" t="s">
        <v>10095</v>
      </c>
      <c r="D4751" t="s">
        <v>180</v>
      </c>
      <c r="E4751" t="s">
        <v>10096</v>
      </c>
      <c r="F4751" t="str">
        <f>"00377866"</f>
        <v>00377866</v>
      </c>
      <c r="G4751" t="s">
        <v>3425</v>
      </c>
      <c r="H4751" t="s">
        <v>20</v>
      </c>
      <c r="I4751">
        <v>1453</v>
      </c>
      <c r="J4751" t="s">
        <v>21</v>
      </c>
      <c r="K4751">
        <v>0</v>
      </c>
      <c r="L4751" t="s">
        <v>59</v>
      </c>
      <c r="M4751">
        <v>988</v>
      </c>
    </row>
    <row r="4752" spans="1:13">
      <c r="A4752">
        <v>4746</v>
      </c>
      <c r="B4752">
        <v>66202</v>
      </c>
      <c r="C4752" t="s">
        <v>10097</v>
      </c>
      <c r="D4752" t="s">
        <v>205</v>
      </c>
      <c r="E4752" t="s">
        <v>10098</v>
      </c>
      <c r="F4752" t="str">
        <f>"00390705"</f>
        <v>00390705</v>
      </c>
      <c r="G4752" t="s">
        <v>600</v>
      </c>
      <c r="H4752" t="s">
        <v>366</v>
      </c>
      <c r="I4752">
        <v>1694</v>
      </c>
      <c r="J4752" t="s">
        <v>21</v>
      </c>
      <c r="K4752">
        <v>0</v>
      </c>
      <c r="M4752">
        <v>1588</v>
      </c>
    </row>
    <row r="4753" spans="1:13">
      <c r="A4753">
        <v>4747</v>
      </c>
      <c r="B4753">
        <v>77276</v>
      </c>
      <c r="C4753" t="s">
        <v>10099</v>
      </c>
      <c r="D4753" t="s">
        <v>145</v>
      </c>
      <c r="E4753" t="s">
        <v>10100</v>
      </c>
      <c r="F4753" t="str">
        <f>"00369743"</f>
        <v>00369743</v>
      </c>
      <c r="G4753" t="s">
        <v>1995</v>
      </c>
      <c r="H4753" t="s">
        <v>20</v>
      </c>
      <c r="I4753">
        <v>1508</v>
      </c>
      <c r="J4753" t="s">
        <v>21</v>
      </c>
      <c r="K4753">
        <v>0</v>
      </c>
      <c r="L4753" t="s">
        <v>35</v>
      </c>
      <c r="M4753">
        <v>1233</v>
      </c>
    </row>
    <row r="4754" spans="1:13">
      <c r="A4754">
        <v>4748</v>
      </c>
      <c r="B4754">
        <v>63556</v>
      </c>
      <c r="C4754" t="s">
        <v>10101</v>
      </c>
      <c r="D4754" t="s">
        <v>145</v>
      </c>
      <c r="E4754" t="s">
        <v>10102</v>
      </c>
      <c r="F4754" t="str">
        <f>"00017334"</f>
        <v>00017334</v>
      </c>
      <c r="G4754" t="s">
        <v>352</v>
      </c>
      <c r="H4754" t="s">
        <v>20</v>
      </c>
      <c r="I4754">
        <v>1471</v>
      </c>
      <c r="J4754" t="s">
        <v>21</v>
      </c>
      <c r="K4754">
        <v>0</v>
      </c>
      <c r="M4754">
        <v>1624</v>
      </c>
    </row>
    <row r="4755" spans="1:13">
      <c r="A4755">
        <v>4749</v>
      </c>
      <c r="B4755">
        <v>79328</v>
      </c>
      <c r="C4755" t="s">
        <v>10103</v>
      </c>
      <c r="D4755" t="s">
        <v>80</v>
      </c>
      <c r="E4755" t="s">
        <v>10104</v>
      </c>
      <c r="F4755" t="str">
        <f>"00353473"</f>
        <v>00353473</v>
      </c>
      <c r="G4755" t="s">
        <v>338</v>
      </c>
      <c r="H4755" t="s">
        <v>20</v>
      </c>
      <c r="I4755">
        <v>1426</v>
      </c>
      <c r="J4755" t="s">
        <v>21</v>
      </c>
      <c r="K4755">
        <v>0</v>
      </c>
      <c r="M4755">
        <v>1508</v>
      </c>
    </row>
    <row r="4756" spans="1:13">
      <c r="A4756">
        <v>4750</v>
      </c>
      <c r="B4756">
        <v>114273</v>
      </c>
      <c r="C4756" t="s">
        <v>10105</v>
      </c>
      <c r="D4756" t="s">
        <v>566</v>
      </c>
      <c r="E4756" t="s">
        <v>10106</v>
      </c>
      <c r="F4756" t="str">
        <f>"00397660"</f>
        <v>00397660</v>
      </c>
      <c r="G4756" t="s">
        <v>19</v>
      </c>
      <c r="H4756" t="s">
        <v>20</v>
      </c>
      <c r="I4756">
        <v>1531</v>
      </c>
      <c r="J4756" t="s">
        <v>21</v>
      </c>
      <c r="K4756">
        <v>0</v>
      </c>
      <c r="L4756" t="s">
        <v>59</v>
      </c>
      <c r="M4756">
        <v>838</v>
      </c>
    </row>
    <row r="4757" spans="1:13">
      <c r="A4757">
        <v>4751</v>
      </c>
      <c r="B4757">
        <v>89107</v>
      </c>
      <c r="C4757" t="s">
        <v>10107</v>
      </c>
      <c r="D4757" t="s">
        <v>94</v>
      </c>
      <c r="E4757" t="s">
        <v>10108</v>
      </c>
      <c r="F4757" t="str">
        <f>"00351870"</f>
        <v>00351870</v>
      </c>
      <c r="G4757" t="s">
        <v>760</v>
      </c>
      <c r="H4757" t="s">
        <v>20</v>
      </c>
      <c r="I4757">
        <v>1432</v>
      </c>
      <c r="J4757" t="s">
        <v>21</v>
      </c>
      <c r="K4757">
        <v>0</v>
      </c>
      <c r="L4757" t="s">
        <v>112</v>
      </c>
      <c r="M4757">
        <v>900</v>
      </c>
    </row>
    <row r="4758" spans="1:13">
      <c r="A4758">
        <v>4752</v>
      </c>
      <c r="B4758">
        <v>77772</v>
      </c>
      <c r="C4758" t="s">
        <v>10109</v>
      </c>
      <c r="D4758" t="s">
        <v>180</v>
      </c>
      <c r="E4758" t="s">
        <v>10110</v>
      </c>
      <c r="F4758" t="str">
        <f>"00305615"</f>
        <v>00305615</v>
      </c>
      <c r="G4758" t="s">
        <v>107</v>
      </c>
      <c r="H4758" t="s">
        <v>20</v>
      </c>
      <c r="I4758">
        <v>1472</v>
      </c>
      <c r="J4758" t="s">
        <v>21</v>
      </c>
      <c r="K4758">
        <v>0</v>
      </c>
      <c r="M4758">
        <v>1430</v>
      </c>
    </row>
    <row r="4759" spans="1:13">
      <c r="A4759">
        <v>4753</v>
      </c>
      <c r="B4759">
        <v>58301</v>
      </c>
      <c r="C4759" t="s">
        <v>10111</v>
      </c>
      <c r="D4759" t="s">
        <v>2882</v>
      </c>
      <c r="E4759" t="s">
        <v>10112</v>
      </c>
      <c r="F4759" t="str">
        <f>"00375926"</f>
        <v>00375926</v>
      </c>
      <c r="G4759" t="s">
        <v>215</v>
      </c>
      <c r="H4759" t="s">
        <v>216</v>
      </c>
      <c r="I4759">
        <v>1708</v>
      </c>
      <c r="J4759" t="s">
        <v>21</v>
      </c>
      <c r="K4759">
        <v>6</v>
      </c>
      <c r="M4759">
        <v>1353</v>
      </c>
    </row>
    <row r="4760" spans="1:13">
      <c r="A4760">
        <v>4754</v>
      </c>
      <c r="B4760">
        <v>83376</v>
      </c>
      <c r="C4760" t="s">
        <v>10113</v>
      </c>
      <c r="D4760" t="s">
        <v>76</v>
      </c>
      <c r="E4760" t="s">
        <v>10114</v>
      </c>
      <c r="F4760" t="str">
        <f>"00023600"</f>
        <v>00023600</v>
      </c>
      <c r="G4760" t="s">
        <v>2025</v>
      </c>
      <c r="H4760" t="s">
        <v>20</v>
      </c>
      <c r="I4760">
        <v>1570</v>
      </c>
      <c r="J4760" t="s">
        <v>21</v>
      </c>
      <c r="K4760">
        <v>6</v>
      </c>
      <c r="M4760">
        <v>1448</v>
      </c>
    </row>
    <row r="4761" spans="1:13">
      <c r="A4761">
        <v>4755</v>
      </c>
      <c r="B4761">
        <v>87395</v>
      </c>
      <c r="C4761" t="s">
        <v>10115</v>
      </c>
      <c r="D4761" t="s">
        <v>90</v>
      </c>
      <c r="E4761" t="s">
        <v>10116</v>
      </c>
      <c r="F4761" t="str">
        <f>"00409568"</f>
        <v>00409568</v>
      </c>
      <c r="G4761" t="s">
        <v>596</v>
      </c>
      <c r="H4761" t="s">
        <v>20</v>
      </c>
      <c r="I4761">
        <v>1562</v>
      </c>
      <c r="J4761" t="s">
        <v>21</v>
      </c>
      <c r="K4761">
        <v>6</v>
      </c>
      <c r="M4761">
        <v>1228</v>
      </c>
    </row>
    <row r="4762" spans="1:13">
      <c r="A4762">
        <v>4756</v>
      </c>
      <c r="B4762">
        <v>78608</v>
      </c>
      <c r="C4762" t="s">
        <v>10117</v>
      </c>
      <c r="D4762" t="s">
        <v>80</v>
      </c>
      <c r="E4762" t="s">
        <v>10118</v>
      </c>
      <c r="F4762" t="str">
        <f>"00373444"</f>
        <v>00373444</v>
      </c>
      <c r="G4762" t="s">
        <v>437</v>
      </c>
      <c r="H4762" t="s">
        <v>3942</v>
      </c>
      <c r="I4762">
        <v>1371</v>
      </c>
      <c r="J4762" t="s">
        <v>21</v>
      </c>
      <c r="K4762">
        <v>0</v>
      </c>
      <c r="L4762" t="s">
        <v>35</v>
      </c>
      <c r="M4762">
        <v>1208</v>
      </c>
    </row>
    <row r="4763" spans="1:13">
      <c r="A4763">
        <v>4757</v>
      </c>
      <c r="B4763">
        <v>46271</v>
      </c>
      <c r="C4763" t="s">
        <v>10119</v>
      </c>
      <c r="D4763" t="s">
        <v>243</v>
      </c>
      <c r="E4763" t="s">
        <v>10120</v>
      </c>
      <c r="F4763" t="str">
        <f>"00221879"</f>
        <v>00221879</v>
      </c>
      <c r="G4763" t="s">
        <v>29</v>
      </c>
      <c r="H4763" t="s">
        <v>20</v>
      </c>
      <c r="I4763">
        <v>1446</v>
      </c>
      <c r="J4763" t="s">
        <v>21</v>
      </c>
      <c r="K4763">
        <v>0</v>
      </c>
      <c r="M4763">
        <v>1390</v>
      </c>
    </row>
    <row r="4764" spans="1:13">
      <c r="A4764">
        <v>4758</v>
      </c>
      <c r="B4764">
        <v>110370</v>
      </c>
      <c r="C4764" t="s">
        <v>10121</v>
      </c>
      <c r="D4764" t="s">
        <v>209</v>
      </c>
      <c r="E4764" t="s">
        <v>10122</v>
      </c>
      <c r="F4764" t="str">
        <f>"00339253"</f>
        <v>00339253</v>
      </c>
      <c r="G4764" t="s">
        <v>1005</v>
      </c>
      <c r="H4764" t="s">
        <v>216</v>
      </c>
      <c r="I4764">
        <v>1710</v>
      </c>
      <c r="J4764" t="s">
        <v>21</v>
      </c>
      <c r="K4764">
        <v>6</v>
      </c>
      <c r="M4764">
        <v>1328</v>
      </c>
    </row>
    <row r="4765" spans="1:13">
      <c r="A4765">
        <v>4759</v>
      </c>
      <c r="B4765">
        <v>103587</v>
      </c>
      <c r="C4765" t="s">
        <v>10123</v>
      </c>
      <c r="D4765" t="s">
        <v>180</v>
      </c>
      <c r="E4765" t="s">
        <v>10124</v>
      </c>
      <c r="F4765" t="str">
        <f>"00377966"</f>
        <v>00377966</v>
      </c>
      <c r="G4765" t="s">
        <v>24</v>
      </c>
      <c r="H4765" t="s">
        <v>20</v>
      </c>
      <c r="I4765">
        <v>1577</v>
      </c>
      <c r="J4765" t="s">
        <v>21</v>
      </c>
      <c r="K4765">
        <v>0</v>
      </c>
      <c r="L4765" t="s">
        <v>35</v>
      </c>
      <c r="M4765">
        <v>858</v>
      </c>
    </row>
    <row r="4766" spans="1:13">
      <c r="A4766">
        <v>4760</v>
      </c>
      <c r="B4766">
        <v>73688</v>
      </c>
      <c r="C4766" t="s">
        <v>10125</v>
      </c>
      <c r="D4766" t="s">
        <v>105</v>
      </c>
      <c r="E4766" t="s">
        <v>10126</v>
      </c>
      <c r="F4766" t="str">
        <f>"00078274"</f>
        <v>00078274</v>
      </c>
      <c r="G4766" t="s">
        <v>107</v>
      </c>
      <c r="H4766" t="s">
        <v>20</v>
      </c>
      <c r="I4766">
        <v>1472</v>
      </c>
      <c r="J4766" t="s">
        <v>21</v>
      </c>
      <c r="K4766">
        <v>0</v>
      </c>
      <c r="L4766" t="s">
        <v>35</v>
      </c>
      <c r="M4766">
        <v>941</v>
      </c>
    </row>
    <row r="4767" spans="1:13">
      <c r="A4767">
        <v>4761</v>
      </c>
      <c r="B4767">
        <v>84691</v>
      </c>
      <c r="C4767" t="s">
        <v>10127</v>
      </c>
      <c r="D4767" t="s">
        <v>105</v>
      </c>
      <c r="E4767" t="s">
        <v>10128</v>
      </c>
      <c r="F4767" t="str">
        <f>"00285239"</f>
        <v>00285239</v>
      </c>
      <c r="G4767" t="s">
        <v>1404</v>
      </c>
      <c r="H4767" t="s">
        <v>20</v>
      </c>
      <c r="I4767">
        <v>1414</v>
      </c>
      <c r="J4767" t="s">
        <v>21</v>
      </c>
      <c r="K4767">
        <v>0</v>
      </c>
      <c r="L4767" t="s">
        <v>35</v>
      </c>
      <c r="M4767">
        <v>1100</v>
      </c>
    </row>
    <row r="4768" spans="1:13">
      <c r="A4768">
        <v>4762</v>
      </c>
      <c r="B4768">
        <v>47791</v>
      </c>
      <c r="C4768" t="s">
        <v>10129</v>
      </c>
      <c r="D4768" t="s">
        <v>102</v>
      </c>
      <c r="E4768" t="s">
        <v>10130</v>
      </c>
      <c r="F4768" t="str">
        <f>"00046959"</f>
        <v>00046959</v>
      </c>
      <c r="G4768" t="s">
        <v>834</v>
      </c>
      <c r="H4768" t="s">
        <v>20</v>
      </c>
      <c r="I4768">
        <v>1416</v>
      </c>
      <c r="J4768" t="s">
        <v>21</v>
      </c>
      <c r="K4768">
        <v>0</v>
      </c>
      <c r="L4768" t="s">
        <v>35</v>
      </c>
      <c r="M4768">
        <v>950</v>
      </c>
    </row>
    <row r="4769" spans="1:13">
      <c r="A4769">
        <v>4763</v>
      </c>
      <c r="B4769">
        <v>46243</v>
      </c>
      <c r="C4769" t="s">
        <v>10131</v>
      </c>
      <c r="D4769" t="s">
        <v>218</v>
      </c>
      <c r="E4769" t="s">
        <v>10132</v>
      </c>
      <c r="F4769" t="str">
        <f>"201510003315"</f>
        <v>201510003315</v>
      </c>
      <c r="G4769" t="s">
        <v>70</v>
      </c>
      <c r="H4769" t="s">
        <v>71</v>
      </c>
      <c r="I4769">
        <v>1702</v>
      </c>
      <c r="J4769" t="s">
        <v>21</v>
      </c>
      <c r="K4769">
        <v>0</v>
      </c>
      <c r="L4769" t="s">
        <v>88</v>
      </c>
      <c r="M4769">
        <v>622</v>
      </c>
    </row>
    <row r="4770" spans="1:13">
      <c r="A4770">
        <v>4764</v>
      </c>
      <c r="B4770">
        <v>50037</v>
      </c>
      <c r="C4770" t="s">
        <v>10133</v>
      </c>
      <c r="D4770" t="s">
        <v>121</v>
      </c>
      <c r="E4770" t="s">
        <v>10134</v>
      </c>
      <c r="F4770" t="str">
        <f>"00250225"</f>
        <v>00250225</v>
      </c>
      <c r="G4770" t="s">
        <v>1079</v>
      </c>
      <c r="H4770" t="s">
        <v>20</v>
      </c>
      <c r="I4770">
        <v>1433</v>
      </c>
      <c r="J4770" t="s">
        <v>21</v>
      </c>
      <c r="K4770">
        <v>0</v>
      </c>
      <c r="M4770">
        <v>1428</v>
      </c>
    </row>
    <row r="4771" spans="1:13">
      <c r="A4771">
        <v>4765</v>
      </c>
      <c r="B4771">
        <v>109488</v>
      </c>
      <c r="C4771" t="s">
        <v>10135</v>
      </c>
      <c r="D4771" t="s">
        <v>566</v>
      </c>
      <c r="E4771" t="s">
        <v>10136</v>
      </c>
      <c r="F4771" t="str">
        <f>"00416234"</f>
        <v>00416234</v>
      </c>
      <c r="G4771" t="s">
        <v>96</v>
      </c>
      <c r="H4771" t="s">
        <v>20</v>
      </c>
      <c r="I4771">
        <v>1474</v>
      </c>
      <c r="J4771" t="s">
        <v>21</v>
      </c>
      <c r="K4771">
        <v>0</v>
      </c>
      <c r="M4771">
        <v>1528</v>
      </c>
    </row>
    <row r="4772" spans="1:13">
      <c r="A4772">
        <v>4766</v>
      </c>
      <c r="B4772">
        <v>107563</v>
      </c>
      <c r="C4772" t="s">
        <v>10137</v>
      </c>
      <c r="D4772" t="s">
        <v>76</v>
      </c>
      <c r="E4772" t="s">
        <v>10138</v>
      </c>
      <c r="F4772" t="str">
        <f>"00415522"</f>
        <v>00415522</v>
      </c>
      <c r="G4772" t="s">
        <v>1393</v>
      </c>
      <c r="H4772" t="s">
        <v>20</v>
      </c>
      <c r="I4772">
        <v>1498</v>
      </c>
      <c r="J4772" t="s">
        <v>21</v>
      </c>
      <c r="K4772">
        <v>0</v>
      </c>
      <c r="L4772" t="s">
        <v>35</v>
      </c>
      <c r="M4772">
        <v>1195</v>
      </c>
    </row>
    <row r="4773" spans="1:13">
      <c r="A4773">
        <v>4767</v>
      </c>
      <c r="B4773">
        <v>53114</v>
      </c>
      <c r="C4773" t="s">
        <v>10139</v>
      </c>
      <c r="D4773" t="s">
        <v>80</v>
      </c>
      <c r="E4773" t="s">
        <v>10140</v>
      </c>
      <c r="F4773" t="str">
        <f>"00069681"</f>
        <v>00069681</v>
      </c>
      <c r="G4773" t="s">
        <v>2440</v>
      </c>
      <c r="H4773" t="s">
        <v>20</v>
      </c>
      <c r="I4773">
        <v>1567</v>
      </c>
      <c r="J4773" t="s">
        <v>21</v>
      </c>
      <c r="K4773">
        <v>0</v>
      </c>
      <c r="M4773">
        <v>1404</v>
      </c>
    </row>
    <row r="4774" spans="1:13">
      <c r="A4774">
        <v>4768</v>
      </c>
      <c r="B4774">
        <v>57326</v>
      </c>
      <c r="C4774" t="s">
        <v>10141</v>
      </c>
      <c r="D4774" t="s">
        <v>105</v>
      </c>
      <c r="E4774" t="s">
        <v>10142</v>
      </c>
      <c r="F4774" t="str">
        <f>"00290701"</f>
        <v>00290701</v>
      </c>
      <c r="G4774" t="s">
        <v>997</v>
      </c>
      <c r="H4774" t="s">
        <v>20</v>
      </c>
      <c r="I4774">
        <v>1502</v>
      </c>
      <c r="J4774" t="s">
        <v>21</v>
      </c>
      <c r="K4774">
        <v>0</v>
      </c>
      <c r="M4774">
        <v>1468</v>
      </c>
    </row>
    <row r="4775" spans="1:13">
      <c r="A4775">
        <v>4769</v>
      </c>
      <c r="B4775">
        <v>60634</v>
      </c>
      <c r="C4775" t="s">
        <v>10143</v>
      </c>
      <c r="D4775" t="s">
        <v>76</v>
      </c>
      <c r="E4775" t="s">
        <v>10144</v>
      </c>
      <c r="F4775" t="str">
        <f>"201406009266"</f>
        <v>201406009266</v>
      </c>
      <c r="G4775" t="s">
        <v>284</v>
      </c>
      <c r="H4775" t="s">
        <v>270</v>
      </c>
      <c r="I4775">
        <v>1586</v>
      </c>
      <c r="J4775" t="s">
        <v>21</v>
      </c>
      <c r="K4775">
        <v>0</v>
      </c>
      <c r="L4775" t="s">
        <v>35</v>
      </c>
      <c r="M4775">
        <v>955</v>
      </c>
    </row>
    <row r="4776" spans="1:13">
      <c r="A4776">
        <v>4770</v>
      </c>
      <c r="B4776">
        <v>46550</v>
      </c>
      <c r="C4776" t="s">
        <v>10145</v>
      </c>
      <c r="D4776" t="s">
        <v>145</v>
      </c>
      <c r="E4776" t="s">
        <v>10146</v>
      </c>
      <c r="F4776" t="str">
        <f>"00348449"</f>
        <v>00348449</v>
      </c>
      <c r="G4776" t="s">
        <v>47</v>
      </c>
      <c r="H4776" t="s">
        <v>48</v>
      </c>
      <c r="I4776">
        <v>1623</v>
      </c>
      <c r="J4776" t="s">
        <v>21</v>
      </c>
      <c r="K4776">
        <v>0</v>
      </c>
      <c r="L4776" t="s">
        <v>83</v>
      </c>
      <c r="M4776">
        <v>1238</v>
      </c>
    </row>
    <row r="4777" spans="1:13">
      <c r="A4777">
        <v>4771</v>
      </c>
      <c r="B4777">
        <v>49039</v>
      </c>
      <c r="C4777" t="s">
        <v>10147</v>
      </c>
      <c r="D4777" t="s">
        <v>316</v>
      </c>
      <c r="E4777" t="s">
        <v>10148</v>
      </c>
      <c r="F4777" t="str">
        <f>"00077250"</f>
        <v>00077250</v>
      </c>
      <c r="G4777" t="s">
        <v>1869</v>
      </c>
      <c r="H4777" t="s">
        <v>20</v>
      </c>
      <c r="I4777">
        <v>1473</v>
      </c>
      <c r="J4777" t="s">
        <v>21</v>
      </c>
      <c r="K4777">
        <v>0</v>
      </c>
      <c r="L4777" t="s">
        <v>59</v>
      </c>
      <c r="M4777">
        <v>1088</v>
      </c>
    </row>
    <row r="4778" spans="1:13">
      <c r="A4778">
        <v>4772</v>
      </c>
      <c r="B4778">
        <v>89870</v>
      </c>
      <c r="C4778" t="s">
        <v>10149</v>
      </c>
      <c r="D4778" t="s">
        <v>180</v>
      </c>
      <c r="E4778" t="s">
        <v>10150</v>
      </c>
      <c r="F4778" t="str">
        <f>"201406013615"</f>
        <v>201406013615</v>
      </c>
      <c r="G4778" t="s">
        <v>107</v>
      </c>
      <c r="H4778" t="s">
        <v>20</v>
      </c>
      <c r="I4778">
        <v>1472</v>
      </c>
      <c r="J4778" t="s">
        <v>21</v>
      </c>
      <c r="K4778">
        <v>0</v>
      </c>
      <c r="L4778" t="s">
        <v>59</v>
      </c>
      <c r="M4778">
        <v>1228</v>
      </c>
    </row>
    <row r="4779" spans="1:13">
      <c r="A4779">
        <v>4773</v>
      </c>
      <c r="B4779">
        <v>60736</v>
      </c>
      <c r="C4779" t="s">
        <v>10151</v>
      </c>
      <c r="D4779" t="s">
        <v>557</v>
      </c>
      <c r="E4779" t="s">
        <v>10152</v>
      </c>
      <c r="F4779" t="str">
        <f>"00025527"</f>
        <v>00025527</v>
      </c>
      <c r="G4779" t="s">
        <v>96</v>
      </c>
      <c r="H4779" t="s">
        <v>20</v>
      </c>
      <c r="I4779">
        <v>1474</v>
      </c>
      <c r="J4779" t="s">
        <v>21</v>
      </c>
      <c r="K4779">
        <v>0</v>
      </c>
      <c r="M4779">
        <v>1888</v>
      </c>
    </row>
    <row r="4780" spans="1:13">
      <c r="A4780">
        <v>4774</v>
      </c>
      <c r="B4780">
        <v>47839</v>
      </c>
      <c r="C4780" t="s">
        <v>10153</v>
      </c>
      <c r="D4780" t="s">
        <v>10154</v>
      </c>
      <c r="E4780" t="s">
        <v>10155</v>
      </c>
      <c r="F4780" t="str">
        <f>"00365453"</f>
        <v>00365453</v>
      </c>
      <c r="G4780" t="s">
        <v>230</v>
      </c>
      <c r="H4780" t="s">
        <v>20</v>
      </c>
      <c r="I4780">
        <v>1545</v>
      </c>
      <c r="J4780" t="s">
        <v>21</v>
      </c>
      <c r="K4780">
        <v>0</v>
      </c>
      <c r="L4780" t="s">
        <v>35</v>
      </c>
      <c r="M4780">
        <v>1008</v>
      </c>
    </row>
    <row r="4781" spans="1:13">
      <c r="A4781">
        <v>4775</v>
      </c>
      <c r="B4781">
        <v>48998</v>
      </c>
      <c r="C4781" t="s">
        <v>10156</v>
      </c>
      <c r="D4781" t="s">
        <v>4233</v>
      </c>
      <c r="E4781" t="s">
        <v>10157</v>
      </c>
      <c r="F4781" t="str">
        <f>"00365549"</f>
        <v>00365549</v>
      </c>
      <c r="G4781" t="s">
        <v>230</v>
      </c>
      <c r="H4781" t="s">
        <v>20</v>
      </c>
      <c r="I4781">
        <v>1545</v>
      </c>
      <c r="J4781" t="s">
        <v>21</v>
      </c>
      <c r="K4781">
        <v>0</v>
      </c>
      <c r="L4781" t="s">
        <v>35</v>
      </c>
      <c r="M4781">
        <v>1208</v>
      </c>
    </row>
    <row r="4782" spans="1:13">
      <c r="A4782">
        <v>4776</v>
      </c>
      <c r="B4782">
        <v>63815</v>
      </c>
      <c r="C4782" t="s">
        <v>10158</v>
      </c>
      <c r="D4782" t="s">
        <v>105</v>
      </c>
      <c r="E4782" t="s">
        <v>10159</v>
      </c>
      <c r="F4782" t="str">
        <f>"00265736"</f>
        <v>00265736</v>
      </c>
      <c r="G4782" t="s">
        <v>143</v>
      </c>
      <c r="H4782" t="s">
        <v>20</v>
      </c>
      <c r="I4782">
        <v>1499</v>
      </c>
      <c r="J4782" t="s">
        <v>21</v>
      </c>
      <c r="K4782">
        <v>0</v>
      </c>
      <c r="M4782">
        <v>1528</v>
      </c>
    </row>
    <row r="4783" spans="1:13">
      <c r="A4783">
        <v>4777</v>
      </c>
      <c r="B4783">
        <v>77091</v>
      </c>
      <c r="C4783" t="s">
        <v>10160</v>
      </c>
      <c r="D4783" t="s">
        <v>321</v>
      </c>
      <c r="E4783" t="s">
        <v>10161</v>
      </c>
      <c r="F4783" t="str">
        <f>"00363469"</f>
        <v>00363469</v>
      </c>
      <c r="G4783" t="s">
        <v>371</v>
      </c>
      <c r="H4783" t="s">
        <v>20</v>
      </c>
      <c r="I4783">
        <v>1526</v>
      </c>
      <c r="J4783" t="s">
        <v>21</v>
      </c>
      <c r="K4783">
        <v>6</v>
      </c>
      <c r="M4783">
        <v>951</v>
      </c>
    </row>
    <row r="4784" spans="1:13">
      <c r="A4784">
        <v>4778</v>
      </c>
      <c r="B4784">
        <v>71020</v>
      </c>
      <c r="C4784" t="s">
        <v>10162</v>
      </c>
      <c r="D4784" t="s">
        <v>105</v>
      </c>
      <c r="E4784" t="s">
        <v>10163</v>
      </c>
      <c r="F4784" t="str">
        <f>"00211948"</f>
        <v>00211948</v>
      </c>
      <c r="G4784" t="s">
        <v>107</v>
      </c>
      <c r="H4784" t="s">
        <v>20</v>
      </c>
      <c r="I4784">
        <v>1472</v>
      </c>
      <c r="J4784" t="s">
        <v>21</v>
      </c>
      <c r="K4784">
        <v>0</v>
      </c>
      <c r="M4784">
        <v>1368</v>
      </c>
    </row>
    <row r="4785" spans="1:13">
      <c r="A4785">
        <v>4779</v>
      </c>
      <c r="B4785">
        <v>64825</v>
      </c>
      <c r="C4785" t="s">
        <v>10164</v>
      </c>
      <c r="D4785" t="s">
        <v>180</v>
      </c>
      <c r="E4785" t="s">
        <v>10165</v>
      </c>
      <c r="F4785" t="str">
        <f>"00353376"</f>
        <v>00353376</v>
      </c>
      <c r="G4785" t="s">
        <v>111</v>
      </c>
      <c r="H4785" t="s">
        <v>48</v>
      </c>
      <c r="I4785">
        <v>1620</v>
      </c>
      <c r="J4785" t="s">
        <v>21</v>
      </c>
      <c r="K4785">
        <v>0</v>
      </c>
      <c r="L4785" t="s">
        <v>112</v>
      </c>
      <c r="M4785">
        <v>808</v>
      </c>
    </row>
    <row r="4786" spans="1:13">
      <c r="A4786">
        <v>4780</v>
      </c>
      <c r="B4786">
        <v>113402</v>
      </c>
      <c r="C4786" t="s">
        <v>10166</v>
      </c>
      <c r="D4786" t="s">
        <v>80</v>
      </c>
      <c r="E4786" t="s">
        <v>10167</v>
      </c>
      <c r="F4786" t="str">
        <f>"00418507"</f>
        <v>00418507</v>
      </c>
      <c r="G4786" t="s">
        <v>245</v>
      </c>
      <c r="H4786" t="s">
        <v>20</v>
      </c>
      <c r="I4786">
        <v>1406</v>
      </c>
      <c r="J4786" t="s">
        <v>21</v>
      </c>
      <c r="K4786">
        <v>0</v>
      </c>
      <c r="L4786" t="s">
        <v>35</v>
      </c>
      <c r="M4786">
        <v>908</v>
      </c>
    </row>
    <row r="4787" spans="1:13">
      <c r="A4787">
        <v>4781</v>
      </c>
      <c r="B4787">
        <v>66289</v>
      </c>
      <c r="C4787" t="s">
        <v>10168</v>
      </c>
      <c r="D4787" t="s">
        <v>507</v>
      </c>
      <c r="E4787" t="s">
        <v>10169</v>
      </c>
      <c r="F4787" t="str">
        <f>"00268065"</f>
        <v>00268065</v>
      </c>
      <c r="G4787" t="s">
        <v>488</v>
      </c>
      <c r="H4787" t="s">
        <v>20</v>
      </c>
      <c r="I4787">
        <v>1482</v>
      </c>
      <c r="J4787" t="s">
        <v>21</v>
      </c>
      <c r="K4787">
        <v>0</v>
      </c>
      <c r="M4787">
        <v>1540</v>
      </c>
    </row>
    <row r="4788" spans="1:13">
      <c r="A4788">
        <v>4782</v>
      </c>
      <c r="B4788">
        <v>83083</v>
      </c>
      <c r="C4788" t="s">
        <v>10170</v>
      </c>
      <c r="D4788" t="s">
        <v>209</v>
      </c>
      <c r="E4788" t="s">
        <v>10171</v>
      </c>
      <c r="F4788" t="str">
        <f>"00039930"</f>
        <v>00039930</v>
      </c>
      <c r="G4788" t="s">
        <v>1742</v>
      </c>
      <c r="H4788" t="s">
        <v>241</v>
      </c>
      <c r="I4788">
        <v>1365</v>
      </c>
      <c r="J4788" t="s">
        <v>21</v>
      </c>
      <c r="K4788">
        <v>0</v>
      </c>
      <c r="M4788">
        <v>1511</v>
      </c>
    </row>
    <row r="4789" spans="1:13">
      <c r="A4789">
        <v>4783</v>
      </c>
      <c r="B4789">
        <v>72679</v>
      </c>
      <c r="C4789" t="s">
        <v>10172</v>
      </c>
      <c r="D4789" t="s">
        <v>3902</v>
      </c>
      <c r="E4789" t="s">
        <v>10173</v>
      </c>
      <c r="F4789" t="str">
        <f>"00374821"</f>
        <v>00374821</v>
      </c>
      <c r="G4789" t="s">
        <v>215</v>
      </c>
      <c r="H4789" t="s">
        <v>216</v>
      </c>
      <c r="I4789">
        <v>1708</v>
      </c>
      <c r="J4789" t="s">
        <v>21</v>
      </c>
      <c r="K4789">
        <v>6</v>
      </c>
      <c r="L4789" t="s">
        <v>112</v>
      </c>
      <c r="M4789">
        <v>785</v>
      </c>
    </row>
    <row r="4790" spans="1:13">
      <c r="A4790">
        <v>4784</v>
      </c>
      <c r="B4790">
        <v>66988</v>
      </c>
      <c r="C4790" t="s">
        <v>10174</v>
      </c>
      <c r="D4790" t="s">
        <v>373</v>
      </c>
      <c r="E4790" t="s">
        <v>10175</v>
      </c>
      <c r="F4790" t="str">
        <f>"00292105"</f>
        <v>00292105</v>
      </c>
      <c r="G4790" t="s">
        <v>329</v>
      </c>
      <c r="H4790" t="s">
        <v>20</v>
      </c>
      <c r="I4790">
        <v>1509</v>
      </c>
      <c r="J4790" t="s">
        <v>21</v>
      </c>
      <c r="K4790">
        <v>0</v>
      </c>
      <c r="L4790" t="s">
        <v>35</v>
      </c>
      <c r="M4790">
        <v>1008</v>
      </c>
    </row>
    <row r="4791" spans="1:13">
      <c r="A4791">
        <v>4785</v>
      </c>
      <c r="B4791">
        <v>71415</v>
      </c>
      <c r="C4791" t="s">
        <v>10176</v>
      </c>
      <c r="D4791" t="s">
        <v>121</v>
      </c>
      <c r="E4791" t="s">
        <v>10177</v>
      </c>
      <c r="F4791" t="str">
        <f>"201502002171"</f>
        <v>201502002171</v>
      </c>
      <c r="G4791" t="s">
        <v>1445</v>
      </c>
      <c r="H4791" t="s">
        <v>535</v>
      </c>
      <c r="I4791">
        <v>1665</v>
      </c>
      <c r="J4791" t="s">
        <v>21</v>
      </c>
      <c r="K4791">
        <v>6</v>
      </c>
      <c r="L4791" t="s">
        <v>35</v>
      </c>
      <c r="M4791">
        <v>908</v>
      </c>
    </row>
    <row r="4792" spans="1:13">
      <c r="A4792">
        <v>4786</v>
      </c>
      <c r="B4792">
        <v>114646</v>
      </c>
      <c r="C4792" t="s">
        <v>10178</v>
      </c>
      <c r="D4792" t="s">
        <v>180</v>
      </c>
      <c r="E4792" t="s">
        <v>10179</v>
      </c>
      <c r="F4792" t="str">
        <f>"00420739"</f>
        <v>00420739</v>
      </c>
      <c r="G4792" t="s">
        <v>696</v>
      </c>
      <c r="H4792" t="s">
        <v>20</v>
      </c>
      <c r="I4792">
        <v>1520</v>
      </c>
      <c r="J4792" t="s">
        <v>21</v>
      </c>
      <c r="K4792">
        <v>0</v>
      </c>
      <c r="L4792" t="s">
        <v>35</v>
      </c>
      <c r="M4792">
        <v>1108</v>
      </c>
    </row>
    <row r="4793" spans="1:13">
      <c r="A4793">
        <v>4787</v>
      </c>
      <c r="B4793">
        <v>116722</v>
      </c>
      <c r="C4793" t="s">
        <v>10180</v>
      </c>
      <c r="D4793" t="s">
        <v>121</v>
      </c>
      <c r="E4793" t="s">
        <v>10181</v>
      </c>
      <c r="F4793" t="str">
        <f>"00423234"</f>
        <v>00423234</v>
      </c>
      <c r="G4793" t="s">
        <v>96</v>
      </c>
      <c r="H4793" t="s">
        <v>20</v>
      </c>
      <c r="I4793">
        <v>1474</v>
      </c>
      <c r="J4793" t="s">
        <v>21</v>
      </c>
      <c r="K4793">
        <v>0</v>
      </c>
      <c r="M4793">
        <v>2203</v>
      </c>
    </row>
    <row r="4794" spans="1:13">
      <c r="A4794">
        <v>4788</v>
      </c>
      <c r="B4794">
        <v>66286</v>
      </c>
      <c r="C4794" t="s">
        <v>10182</v>
      </c>
      <c r="D4794" t="s">
        <v>105</v>
      </c>
      <c r="E4794" t="s">
        <v>10183</v>
      </c>
      <c r="F4794" t="str">
        <f>"00385089"</f>
        <v>00385089</v>
      </c>
      <c r="G4794" t="s">
        <v>170</v>
      </c>
      <c r="H4794" t="s">
        <v>738</v>
      </c>
      <c r="I4794">
        <v>1643</v>
      </c>
      <c r="J4794" t="s">
        <v>21</v>
      </c>
      <c r="K4794">
        <v>0</v>
      </c>
      <c r="L4794" t="s">
        <v>59</v>
      </c>
      <c r="M4794">
        <v>885</v>
      </c>
    </row>
    <row r="4795" spans="1:13">
      <c r="A4795">
        <v>4789</v>
      </c>
      <c r="B4795">
        <v>50379</v>
      </c>
      <c r="C4795" t="s">
        <v>10184</v>
      </c>
      <c r="D4795" t="s">
        <v>557</v>
      </c>
      <c r="E4795" t="s">
        <v>10185</v>
      </c>
      <c r="F4795" t="str">
        <f>"200801000733"</f>
        <v>200801000733</v>
      </c>
      <c r="G4795" t="s">
        <v>488</v>
      </c>
      <c r="H4795" t="s">
        <v>20</v>
      </c>
      <c r="I4795">
        <v>1482</v>
      </c>
      <c r="J4795" t="s">
        <v>21</v>
      </c>
      <c r="K4795">
        <v>0</v>
      </c>
      <c r="L4795" t="s">
        <v>59</v>
      </c>
      <c r="M4795">
        <v>824</v>
      </c>
    </row>
    <row r="4796" spans="1:13">
      <c r="A4796">
        <v>4790</v>
      </c>
      <c r="B4796">
        <v>96991</v>
      </c>
      <c r="C4796" t="s">
        <v>10186</v>
      </c>
      <c r="D4796" t="s">
        <v>117</v>
      </c>
      <c r="E4796" t="s">
        <v>10187</v>
      </c>
      <c r="F4796" t="str">
        <f>"00369066"</f>
        <v>00369066</v>
      </c>
      <c r="G4796" t="s">
        <v>245</v>
      </c>
      <c r="H4796" t="s">
        <v>20</v>
      </c>
      <c r="I4796">
        <v>1406</v>
      </c>
      <c r="J4796" t="s">
        <v>21</v>
      </c>
      <c r="K4796">
        <v>0</v>
      </c>
      <c r="M4796">
        <v>1378</v>
      </c>
    </row>
    <row r="4797" spans="1:13">
      <c r="A4797">
        <v>4791</v>
      </c>
      <c r="B4797">
        <v>106342</v>
      </c>
      <c r="C4797" t="s">
        <v>10188</v>
      </c>
      <c r="D4797" t="s">
        <v>243</v>
      </c>
      <c r="E4797" t="s">
        <v>10189</v>
      </c>
      <c r="F4797" t="str">
        <f>"00346728"</f>
        <v>00346728</v>
      </c>
      <c r="G4797" t="s">
        <v>47</v>
      </c>
      <c r="H4797" t="s">
        <v>48</v>
      </c>
      <c r="I4797">
        <v>1623</v>
      </c>
      <c r="J4797" t="s">
        <v>21</v>
      </c>
      <c r="K4797">
        <v>0</v>
      </c>
      <c r="L4797" t="s">
        <v>35</v>
      </c>
      <c r="M4797">
        <v>1058</v>
      </c>
    </row>
    <row r="4798" spans="1:13">
      <c r="A4798">
        <v>4792</v>
      </c>
      <c r="B4798">
        <v>47231</v>
      </c>
      <c r="C4798" t="s">
        <v>10190</v>
      </c>
      <c r="D4798" t="s">
        <v>209</v>
      </c>
      <c r="E4798" t="s">
        <v>10191</v>
      </c>
      <c r="F4798" t="str">
        <f>"00247350"</f>
        <v>00247350</v>
      </c>
      <c r="G4798" t="s">
        <v>2305</v>
      </c>
      <c r="H4798" t="s">
        <v>2306</v>
      </c>
      <c r="I4798">
        <v>1369</v>
      </c>
      <c r="J4798" t="s">
        <v>21</v>
      </c>
      <c r="K4798">
        <v>0</v>
      </c>
      <c r="M4798">
        <v>1528</v>
      </c>
    </row>
    <row r="4799" spans="1:13">
      <c r="A4799">
        <v>4793</v>
      </c>
      <c r="B4799">
        <v>96614</v>
      </c>
      <c r="C4799" t="s">
        <v>10192</v>
      </c>
      <c r="D4799" t="s">
        <v>209</v>
      </c>
      <c r="E4799" t="s">
        <v>10193</v>
      </c>
      <c r="F4799" t="str">
        <f>"00402755"</f>
        <v>00402755</v>
      </c>
      <c r="G4799" t="s">
        <v>150</v>
      </c>
      <c r="H4799" t="s">
        <v>151</v>
      </c>
      <c r="I4799">
        <v>1699</v>
      </c>
      <c r="J4799" t="s">
        <v>21</v>
      </c>
      <c r="K4799">
        <v>0</v>
      </c>
      <c r="L4799" t="s">
        <v>35</v>
      </c>
      <c r="M4799">
        <v>958</v>
      </c>
    </row>
    <row r="4800" spans="1:13">
      <c r="A4800">
        <v>4794</v>
      </c>
      <c r="B4800">
        <v>103724</v>
      </c>
      <c r="C4800" t="s">
        <v>10194</v>
      </c>
      <c r="D4800" t="s">
        <v>80</v>
      </c>
      <c r="E4800" t="s">
        <v>10195</v>
      </c>
      <c r="F4800" t="str">
        <f>"00395765"</f>
        <v>00395765</v>
      </c>
      <c r="G4800" t="s">
        <v>596</v>
      </c>
      <c r="H4800" t="s">
        <v>20</v>
      </c>
      <c r="I4800">
        <v>1562</v>
      </c>
      <c r="J4800" t="s">
        <v>21</v>
      </c>
      <c r="K4800">
        <v>6</v>
      </c>
      <c r="M4800">
        <v>1238</v>
      </c>
    </row>
    <row r="4801" spans="1:13">
      <c r="A4801">
        <v>4795</v>
      </c>
      <c r="B4801">
        <v>68726</v>
      </c>
      <c r="C4801" t="s">
        <v>10196</v>
      </c>
      <c r="D4801" t="s">
        <v>145</v>
      </c>
      <c r="E4801" t="s">
        <v>10197</v>
      </c>
      <c r="F4801" t="str">
        <f>"00295336"</f>
        <v>00295336</v>
      </c>
      <c r="G4801" t="s">
        <v>1445</v>
      </c>
      <c r="H4801" t="s">
        <v>535</v>
      </c>
      <c r="I4801">
        <v>1665</v>
      </c>
      <c r="J4801" t="s">
        <v>21</v>
      </c>
      <c r="K4801">
        <v>6</v>
      </c>
      <c r="L4801" t="s">
        <v>35</v>
      </c>
      <c r="M4801">
        <v>908</v>
      </c>
    </row>
    <row r="4802" spans="1:13">
      <c r="A4802">
        <v>4796</v>
      </c>
      <c r="B4802">
        <v>51447</v>
      </c>
      <c r="C4802" t="s">
        <v>10198</v>
      </c>
      <c r="D4802" t="s">
        <v>102</v>
      </c>
      <c r="E4802" t="s">
        <v>10199</v>
      </c>
      <c r="F4802" t="str">
        <f>"00303802"</f>
        <v>00303802</v>
      </c>
      <c r="G4802" t="s">
        <v>170</v>
      </c>
      <c r="H4802" t="s">
        <v>20</v>
      </c>
      <c r="I4802">
        <v>1412</v>
      </c>
      <c r="J4802" t="s">
        <v>21</v>
      </c>
      <c r="K4802">
        <v>0</v>
      </c>
      <c r="M4802">
        <v>1358</v>
      </c>
    </row>
    <row r="4803" spans="1:13">
      <c r="A4803">
        <v>4797</v>
      </c>
      <c r="B4803">
        <v>105575</v>
      </c>
      <c r="C4803" t="s">
        <v>10200</v>
      </c>
      <c r="D4803" t="s">
        <v>102</v>
      </c>
      <c r="E4803" t="s">
        <v>10201</v>
      </c>
      <c r="F4803" t="str">
        <f>"00392647"</f>
        <v>00392647</v>
      </c>
      <c r="G4803" t="s">
        <v>107</v>
      </c>
      <c r="H4803" t="s">
        <v>20</v>
      </c>
      <c r="I4803">
        <v>1472</v>
      </c>
      <c r="J4803" t="s">
        <v>21</v>
      </c>
      <c r="K4803">
        <v>0</v>
      </c>
      <c r="M4803">
        <v>1388</v>
      </c>
    </row>
    <row r="4804" spans="1:13">
      <c r="A4804">
        <v>4798</v>
      </c>
      <c r="B4804">
        <v>106287</v>
      </c>
      <c r="C4804" t="s">
        <v>10202</v>
      </c>
      <c r="D4804" t="s">
        <v>243</v>
      </c>
      <c r="E4804" t="s">
        <v>10203</v>
      </c>
      <c r="F4804" t="str">
        <f>"00402079"</f>
        <v>00402079</v>
      </c>
      <c r="G4804" t="s">
        <v>47</v>
      </c>
      <c r="H4804" t="s">
        <v>48</v>
      </c>
      <c r="I4804">
        <v>1623</v>
      </c>
      <c r="J4804" t="s">
        <v>21</v>
      </c>
      <c r="K4804">
        <v>0</v>
      </c>
      <c r="L4804" t="s">
        <v>35</v>
      </c>
      <c r="M4804">
        <v>885</v>
      </c>
    </row>
    <row r="4805" spans="1:13">
      <c r="A4805">
        <v>4799</v>
      </c>
      <c r="B4805">
        <v>80214</v>
      </c>
      <c r="C4805" t="s">
        <v>10204</v>
      </c>
      <c r="D4805" t="s">
        <v>105</v>
      </c>
      <c r="E4805" t="s">
        <v>10205</v>
      </c>
      <c r="F4805" t="str">
        <f>"00397013"</f>
        <v>00397013</v>
      </c>
      <c r="G4805" t="s">
        <v>47</v>
      </c>
      <c r="H4805" t="s">
        <v>48</v>
      </c>
      <c r="I4805">
        <v>1623</v>
      </c>
      <c r="J4805" t="s">
        <v>21</v>
      </c>
      <c r="K4805">
        <v>0</v>
      </c>
      <c r="M4805">
        <v>1328</v>
      </c>
    </row>
    <row r="4806" spans="1:13">
      <c r="A4806">
        <v>4800</v>
      </c>
      <c r="B4806">
        <v>101327</v>
      </c>
      <c r="C4806" t="s">
        <v>10206</v>
      </c>
      <c r="D4806" t="s">
        <v>105</v>
      </c>
      <c r="E4806" t="s">
        <v>10207</v>
      </c>
      <c r="F4806" t="str">
        <f>"00403206"</f>
        <v>00403206</v>
      </c>
      <c r="G4806" t="s">
        <v>111</v>
      </c>
      <c r="H4806" t="s">
        <v>48</v>
      </c>
      <c r="I4806">
        <v>1620</v>
      </c>
      <c r="J4806" t="s">
        <v>21</v>
      </c>
      <c r="K4806">
        <v>0</v>
      </c>
      <c r="M4806">
        <v>1328</v>
      </c>
    </row>
    <row r="4807" spans="1:13">
      <c r="A4807">
        <v>4801</v>
      </c>
      <c r="B4807">
        <v>54262</v>
      </c>
      <c r="C4807" t="s">
        <v>10208</v>
      </c>
      <c r="D4807" t="s">
        <v>94</v>
      </c>
      <c r="E4807" t="s">
        <v>10209</v>
      </c>
      <c r="F4807" t="str">
        <f>"201511005898"</f>
        <v>201511005898</v>
      </c>
      <c r="G4807" t="s">
        <v>610</v>
      </c>
      <c r="H4807" t="s">
        <v>20</v>
      </c>
      <c r="I4807">
        <v>1429</v>
      </c>
      <c r="J4807" t="s">
        <v>21</v>
      </c>
      <c r="K4807">
        <v>0</v>
      </c>
      <c r="L4807" t="s">
        <v>35</v>
      </c>
      <c r="M4807">
        <v>908</v>
      </c>
    </row>
    <row r="4808" spans="1:13">
      <c r="A4808">
        <v>4802</v>
      </c>
      <c r="B4808">
        <v>57567</v>
      </c>
      <c r="C4808" t="s">
        <v>10210</v>
      </c>
      <c r="D4808" t="s">
        <v>76</v>
      </c>
      <c r="E4808" t="s">
        <v>10211</v>
      </c>
      <c r="F4808" t="str">
        <f>"00296432"</f>
        <v>00296432</v>
      </c>
      <c r="G4808" t="s">
        <v>230</v>
      </c>
      <c r="H4808" t="s">
        <v>20</v>
      </c>
      <c r="I4808">
        <v>1545</v>
      </c>
      <c r="J4808" t="s">
        <v>21</v>
      </c>
      <c r="K4808">
        <v>0</v>
      </c>
      <c r="M4808">
        <v>1588</v>
      </c>
    </row>
    <row r="4809" spans="1:13">
      <c r="A4809">
        <v>4803</v>
      </c>
      <c r="B4809">
        <v>56848</v>
      </c>
      <c r="C4809" t="s">
        <v>10212</v>
      </c>
      <c r="D4809" t="s">
        <v>153</v>
      </c>
      <c r="E4809" t="s">
        <v>10213</v>
      </c>
      <c r="F4809" t="str">
        <f>"00258599"</f>
        <v>00258599</v>
      </c>
      <c r="G4809" t="s">
        <v>47</v>
      </c>
      <c r="H4809" t="s">
        <v>48</v>
      </c>
      <c r="I4809">
        <v>1623</v>
      </c>
      <c r="J4809" t="s">
        <v>21</v>
      </c>
      <c r="K4809">
        <v>0</v>
      </c>
      <c r="M4809">
        <v>1363</v>
      </c>
    </row>
    <row r="4810" spans="1:13">
      <c r="A4810">
        <v>4804</v>
      </c>
      <c r="B4810">
        <v>77813</v>
      </c>
      <c r="C4810" t="s">
        <v>10214</v>
      </c>
      <c r="D4810" t="s">
        <v>105</v>
      </c>
      <c r="E4810" t="s">
        <v>10215</v>
      </c>
      <c r="F4810" t="str">
        <f>"201604004954"</f>
        <v>201604004954</v>
      </c>
      <c r="G4810" t="s">
        <v>375</v>
      </c>
      <c r="H4810" t="s">
        <v>20</v>
      </c>
      <c r="I4810">
        <v>1516</v>
      </c>
      <c r="J4810" t="s">
        <v>21</v>
      </c>
      <c r="K4810">
        <v>0</v>
      </c>
      <c r="M4810">
        <v>1538</v>
      </c>
    </row>
    <row r="4811" spans="1:13">
      <c r="A4811">
        <v>4805</v>
      </c>
      <c r="B4811">
        <v>95750</v>
      </c>
      <c r="C4811" t="s">
        <v>10216</v>
      </c>
      <c r="D4811" t="s">
        <v>76</v>
      </c>
      <c r="E4811" t="s">
        <v>10217</v>
      </c>
      <c r="F4811" t="str">
        <f>"00393664"</f>
        <v>00393664</v>
      </c>
      <c r="G4811" t="s">
        <v>1953</v>
      </c>
      <c r="H4811" t="s">
        <v>234</v>
      </c>
      <c r="I4811">
        <v>1332</v>
      </c>
      <c r="J4811" t="s">
        <v>21</v>
      </c>
      <c r="K4811">
        <v>6</v>
      </c>
      <c r="L4811" t="s">
        <v>35</v>
      </c>
      <c r="M4811">
        <v>1108</v>
      </c>
    </row>
    <row r="4812" spans="1:13">
      <c r="A4812">
        <v>4806</v>
      </c>
      <c r="B4812">
        <v>57010</v>
      </c>
      <c r="C4812" t="s">
        <v>10218</v>
      </c>
      <c r="D4812" t="s">
        <v>139</v>
      </c>
      <c r="E4812" t="s">
        <v>10219</v>
      </c>
      <c r="F4812" t="str">
        <f>"00258463"</f>
        <v>00258463</v>
      </c>
      <c r="G4812" t="s">
        <v>240</v>
      </c>
      <c r="H4812" t="s">
        <v>20</v>
      </c>
      <c r="I4812">
        <v>1535</v>
      </c>
      <c r="J4812" t="s">
        <v>21</v>
      </c>
      <c r="K4812">
        <v>6</v>
      </c>
      <c r="M4812">
        <v>1528</v>
      </c>
    </row>
    <row r="4813" spans="1:13">
      <c r="A4813">
        <v>4807</v>
      </c>
      <c r="B4813">
        <v>101750</v>
      </c>
      <c r="C4813" t="s">
        <v>10220</v>
      </c>
      <c r="D4813" t="s">
        <v>726</v>
      </c>
      <c r="E4813" t="s">
        <v>10221</v>
      </c>
      <c r="F4813" t="str">
        <f>"00399796"</f>
        <v>00399796</v>
      </c>
      <c r="G4813" t="s">
        <v>278</v>
      </c>
      <c r="H4813" t="s">
        <v>274</v>
      </c>
      <c r="I4813">
        <v>1382</v>
      </c>
      <c r="J4813" t="s">
        <v>21</v>
      </c>
      <c r="K4813">
        <v>0</v>
      </c>
      <c r="M4813">
        <v>1888</v>
      </c>
    </row>
    <row r="4814" spans="1:13">
      <c r="A4814">
        <v>4808</v>
      </c>
      <c r="B4814">
        <v>57427</v>
      </c>
      <c r="C4814" t="s">
        <v>10222</v>
      </c>
      <c r="D4814" t="s">
        <v>218</v>
      </c>
      <c r="E4814" t="s">
        <v>10223</v>
      </c>
      <c r="F4814" t="str">
        <f>"00293833"</f>
        <v>00293833</v>
      </c>
      <c r="G4814" t="s">
        <v>107</v>
      </c>
      <c r="H4814" t="s">
        <v>20</v>
      </c>
      <c r="I4814">
        <v>1472</v>
      </c>
      <c r="J4814" t="s">
        <v>21</v>
      </c>
      <c r="K4814">
        <v>0</v>
      </c>
      <c r="M4814">
        <v>1388</v>
      </c>
    </row>
    <row r="4815" spans="1:13">
      <c r="A4815">
        <v>4809</v>
      </c>
      <c r="B4815">
        <v>85887</v>
      </c>
      <c r="C4815" t="s">
        <v>10224</v>
      </c>
      <c r="D4815" t="s">
        <v>205</v>
      </c>
      <c r="E4815" t="s">
        <v>10225</v>
      </c>
      <c r="F4815" t="str">
        <f>"00353495"</f>
        <v>00353495</v>
      </c>
      <c r="G4815" t="s">
        <v>47</v>
      </c>
      <c r="H4815" t="s">
        <v>48</v>
      </c>
      <c r="I4815">
        <v>1623</v>
      </c>
      <c r="J4815" t="s">
        <v>21</v>
      </c>
      <c r="K4815">
        <v>0</v>
      </c>
      <c r="L4815" t="s">
        <v>35</v>
      </c>
      <c r="M4815">
        <v>900</v>
      </c>
    </row>
    <row r="4816" spans="1:13">
      <c r="A4816">
        <v>4810</v>
      </c>
      <c r="B4816">
        <v>64664</v>
      </c>
      <c r="C4816" t="s">
        <v>10226</v>
      </c>
      <c r="D4816" t="s">
        <v>213</v>
      </c>
      <c r="E4816" t="s">
        <v>10227</v>
      </c>
      <c r="F4816" t="str">
        <f>"00356817"</f>
        <v>00356817</v>
      </c>
      <c r="G4816" t="s">
        <v>646</v>
      </c>
      <c r="H4816" t="s">
        <v>234</v>
      </c>
      <c r="I4816">
        <v>1333</v>
      </c>
      <c r="J4816" t="s">
        <v>21</v>
      </c>
      <c r="K4816">
        <v>6</v>
      </c>
      <c r="M4816">
        <v>1628</v>
      </c>
    </row>
    <row r="4817" spans="1:13">
      <c r="A4817">
        <v>4811</v>
      </c>
      <c r="B4817">
        <v>73553</v>
      </c>
      <c r="C4817" t="s">
        <v>10228</v>
      </c>
      <c r="D4817" t="s">
        <v>109</v>
      </c>
      <c r="E4817" t="s">
        <v>10229</v>
      </c>
      <c r="F4817" t="str">
        <f>"00251333"</f>
        <v>00251333</v>
      </c>
      <c r="G4817" t="s">
        <v>3237</v>
      </c>
      <c r="H4817" t="s">
        <v>20</v>
      </c>
      <c r="I4817">
        <v>1515</v>
      </c>
      <c r="J4817" t="s">
        <v>21</v>
      </c>
      <c r="K4817">
        <v>6</v>
      </c>
      <c r="M4817">
        <v>1388</v>
      </c>
    </row>
    <row r="4818" spans="1:13">
      <c r="A4818">
        <v>4812</v>
      </c>
      <c r="B4818">
        <v>104348</v>
      </c>
      <c r="C4818" t="s">
        <v>10230</v>
      </c>
      <c r="D4818" t="s">
        <v>109</v>
      </c>
      <c r="E4818" t="s">
        <v>10231</v>
      </c>
      <c r="F4818" t="str">
        <f>"00251392"</f>
        <v>00251392</v>
      </c>
      <c r="G4818" t="s">
        <v>96</v>
      </c>
      <c r="H4818" t="s">
        <v>20</v>
      </c>
      <c r="I4818">
        <v>1474</v>
      </c>
      <c r="J4818" t="s">
        <v>21</v>
      </c>
      <c r="K4818">
        <v>0</v>
      </c>
      <c r="L4818" t="s">
        <v>59</v>
      </c>
      <c r="M4818">
        <v>1188</v>
      </c>
    </row>
    <row r="4819" spans="1:13">
      <c r="A4819">
        <v>4813</v>
      </c>
      <c r="B4819">
        <v>66151</v>
      </c>
      <c r="C4819" t="s">
        <v>10232</v>
      </c>
      <c r="D4819" t="s">
        <v>80</v>
      </c>
      <c r="E4819" t="s">
        <v>10233</v>
      </c>
      <c r="F4819" t="str">
        <f>"00383888"</f>
        <v>00383888</v>
      </c>
      <c r="G4819" t="s">
        <v>107</v>
      </c>
      <c r="H4819" t="s">
        <v>20</v>
      </c>
      <c r="I4819">
        <v>1472</v>
      </c>
      <c r="J4819" t="s">
        <v>21</v>
      </c>
      <c r="K4819">
        <v>0</v>
      </c>
      <c r="M4819">
        <v>1388</v>
      </c>
    </row>
    <row r="4820" spans="1:13">
      <c r="A4820">
        <v>4814</v>
      </c>
      <c r="B4820">
        <v>116642</v>
      </c>
      <c r="C4820" t="s">
        <v>10234</v>
      </c>
      <c r="D4820" t="s">
        <v>105</v>
      </c>
      <c r="E4820" t="s">
        <v>10235</v>
      </c>
      <c r="F4820" t="str">
        <f>"00420340"</f>
        <v>00420340</v>
      </c>
      <c r="G4820" t="s">
        <v>465</v>
      </c>
      <c r="H4820" t="s">
        <v>20</v>
      </c>
      <c r="I4820">
        <v>1534</v>
      </c>
      <c r="J4820" t="s">
        <v>21</v>
      </c>
      <c r="K4820">
        <v>0</v>
      </c>
      <c r="M4820">
        <v>1338</v>
      </c>
    </row>
    <row r="4821" spans="1:13">
      <c r="A4821">
        <v>4815</v>
      </c>
      <c r="B4821">
        <v>59280</v>
      </c>
      <c r="C4821" t="s">
        <v>10236</v>
      </c>
      <c r="D4821" t="s">
        <v>180</v>
      </c>
      <c r="E4821" t="s">
        <v>10237</v>
      </c>
      <c r="F4821" t="str">
        <f>"00020051"</f>
        <v>00020051</v>
      </c>
      <c r="G4821" t="s">
        <v>1404</v>
      </c>
      <c r="H4821" t="s">
        <v>20</v>
      </c>
      <c r="I4821">
        <v>1414</v>
      </c>
      <c r="J4821" t="s">
        <v>21</v>
      </c>
      <c r="K4821">
        <v>0</v>
      </c>
      <c r="M4821">
        <v>1453</v>
      </c>
    </row>
    <row r="4822" spans="1:13">
      <c r="A4822">
        <v>4816</v>
      </c>
      <c r="B4822">
        <v>112424</v>
      </c>
      <c r="C4822" t="s">
        <v>10238</v>
      </c>
      <c r="D4822" t="s">
        <v>288</v>
      </c>
      <c r="E4822" t="s">
        <v>10239</v>
      </c>
      <c r="F4822" t="str">
        <f>"00423724"</f>
        <v>00423724</v>
      </c>
      <c r="G4822" t="s">
        <v>352</v>
      </c>
      <c r="H4822" t="s">
        <v>20</v>
      </c>
      <c r="I4822">
        <v>1471</v>
      </c>
      <c r="J4822" t="s">
        <v>21</v>
      </c>
      <c r="K4822">
        <v>0</v>
      </c>
      <c r="L4822" t="s">
        <v>35</v>
      </c>
      <c r="M4822">
        <v>986</v>
      </c>
    </row>
    <row r="4823" spans="1:13">
      <c r="A4823">
        <v>4817</v>
      </c>
      <c r="B4823">
        <v>86898</v>
      </c>
      <c r="C4823" t="s">
        <v>10240</v>
      </c>
      <c r="D4823" t="s">
        <v>139</v>
      </c>
      <c r="E4823" t="s">
        <v>10241</v>
      </c>
      <c r="F4823" t="str">
        <f>"00397532"</f>
        <v>00397532</v>
      </c>
      <c r="G4823" t="s">
        <v>155</v>
      </c>
      <c r="H4823" t="s">
        <v>156</v>
      </c>
      <c r="I4823">
        <v>1342</v>
      </c>
      <c r="J4823" t="s">
        <v>21</v>
      </c>
      <c r="K4823">
        <v>0</v>
      </c>
      <c r="M4823">
        <v>1492</v>
      </c>
    </row>
    <row r="4824" spans="1:13">
      <c r="A4824">
        <v>4818</v>
      </c>
      <c r="B4824">
        <v>72906</v>
      </c>
      <c r="C4824" t="s">
        <v>10242</v>
      </c>
      <c r="D4824" t="s">
        <v>243</v>
      </c>
      <c r="E4824" t="s">
        <v>10243</v>
      </c>
      <c r="F4824" t="str">
        <f>"00379499"</f>
        <v>00379499</v>
      </c>
      <c r="G4824" t="s">
        <v>1277</v>
      </c>
      <c r="H4824" t="s">
        <v>1278</v>
      </c>
      <c r="I4824">
        <v>1697</v>
      </c>
      <c r="J4824" t="s">
        <v>21</v>
      </c>
      <c r="K4824">
        <v>7</v>
      </c>
      <c r="M4824">
        <v>1425</v>
      </c>
    </row>
    <row r="4825" spans="1:13">
      <c r="A4825">
        <v>4819</v>
      </c>
      <c r="B4825">
        <v>73069</v>
      </c>
      <c r="C4825" t="s">
        <v>10244</v>
      </c>
      <c r="D4825" t="s">
        <v>105</v>
      </c>
      <c r="E4825" t="s">
        <v>10245</v>
      </c>
      <c r="F4825" t="str">
        <f>"00377201"</f>
        <v>00377201</v>
      </c>
      <c r="G4825" t="s">
        <v>1277</v>
      </c>
      <c r="H4825" t="s">
        <v>1278</v>
      </c>
      <c r="I4825">
        <v>1697</v>
      </c>
      <c r="J4825" t="s">
        <v>21</v>
      </c>
      <c r="K4825">
        <v>7</v>
      </c>
      <c r="L4825" t="s">
        <v>35</v>
      </c>
      <c r="M4825">
        <v>708</v>
      </c>
    </row>
    <row r="4826" spans="1:13">
      <c r="A4826">
        <v>4820</v>
      </c>
      <c r="B4826">
        <v>106224</v>
      </c>
      <c r="C4826" t="s">
        <v>10246</v>
      </c>
      <c r="D4826" t="s">
        <v>80</v>
      </c>
      <c r="E4826" t="s">
        <v>10247</v>
      </c>
      <c r="F4826" t="str">
        <f>"00350019"</f>
        <v>00350019</v>
      </c>
      <c r="G4826" t="s">
        <v>294</v>
      </c>
      <c r="H4826" t="s">
        <v>20</v>
      </c>
      <c r="I4826">
        <v>1421</v>
      </c>
      <c r="J4826" t="s">
        <v>21</v>
      </c>
      <c r="K4826">
        <v>0</v>
      </c>
      <c r="M4826">
        <v>1528</v>
      </c>
    </row>
    <row r="4827" spans="1:13">
      <c r="A4827">
        <v>4821</v>
      </c>
      <c r="B4827">
        <v>78866</v>
      </c>
      <c r="C4827" t="s">
        <v>10248</v>
      </c>
      <c r="D4827" t="s">
        <v>121</v>
      </c>
      <c r="E4827" t="s">
        <v>10249</v>
      </c>
      <c r="F4827" t="str">
        <f>"00364930"</f>
        <v>00364930</v>
      </c>
      <c r="G4827" t="s">
        <v>3888</v>
      </c>
      <c r="H4827" t="s">
        <v>1610</v>
      </c>
      <c r="I4827">
        <v>1306</v>
      </c>
      <c r="J4827" t="s">
        <v>21</v>
      </c>
      <c r="K4827">
        <v>0</v>
      </c>
      <c r="M4827">
        <v>1668</v>
      </c>
    </row>
    <row r="4828" spans="1:13">
      <c r="A4828">
        <v>4822</v>
      </c>
      <c r="B4828">
        <v>50173</v>
      </c>
      <c r="C4828" t="s">
        <v>10250</v>
      </c>
      <c r="D4828" t="s">
        <v>249</v>
      </c>
      <c r="E4828" t="s">
        <v>10251</v>
      </c>
      <c r="F4828" t="str">
        <f>"00351510"</f>
        <v>00351510</v>
      </c>
      <c r="G4828" t="s">
        <v>47</v>
      </c>
      <c r="H4828" t="s">
        <v>48</v>
      </c>
      <c r="I4828">
        <v>1623</v>
      </c>
      <c r="J4828" t="s">
        <v>21</v>
      </c>
      <c r="K4828">
        <v>0</v>
      </c>
      <c r="L4828" t="s">
        <v>83</v>
      </c>
      <c r="M4828">
        <v>1288</v>
      </c>
    </row>
    <row r="4829" spans="1:13">
      <c r="A4829">
        <v>4823</v>
      </c>
      <c r="B4829">
        <v>89397</v>
      </c>
      <c r="C4829" t="s">
        <v>10252</v>
      </c>
      <c r="D4829" t="s">
        <v>566</v>
      </c>
      <c r="E4829" t="s">
        <v>10253</v>
      </c>
      <c r="F4829" t="str">
        <f>"00072975"</f>
        <v>00072975</v>
      </c>
      <c r="G4829" t="s">
        <v>561</v>
      </c>
      <c r="H4829" t="s">
        <v>20</v>
      </c>
      <c r="I4829">
        <v>1574</v>
      </c>
      <c r="J4829" t="s">
        <v>21</v>
      </c>
      <c r="K4829">
        <v>0</v>
      </c>
      <c r="M4829">
        <v>1318</v>
      </c>
    </row>
    <row r="4830" spans="1:13">
      <c r="A4830">
        <v>4824</v>
      </c>
      <c r="B4830">
        <v>50729</v>
      </c>
      <c r="C4830" t="s">
        <v>10254</v>
      </c>
      <c r="D4830" t="s">
        <v>218</v>
      </c>
      <c r="E4830" t="s">
        <v>10255</v>
      </c>
      <c r="F4830" t="str">
        <f>"00285251"</f>
        <v>00285251</v>
      </c>
      <c r="G4830" t="s">
        <v>107</v>
      </c>
      <c r="H4830" t="s">
        <v>20</v>
      </c>
      <c r="I4830">
        <v>1472</v>
      </c>
      <c r="J4830" t="s">
        <v>21</v>
      </c>
      <c r="K4830">
        <v>0</v>
      </c>
      <c r="M4830">
        <v>1528</v>
      </c>
    </row>
    <row r="4831" spans="1:13">
      <c r="A4831">
        <v>4825</v>
      </c>
      <c r="B4831">
        <v>62508</v>
      </c>
      <c r="C4831" t="s">
        <v>10256</v>
      </c>
      <c r="D4831" t="s">
        <v>76</v>
      </c>
      <c r="E4831" t="s">
        <v>10257</v>
      </c>
      <c r="F4831" t="str">
        <f>"201511011738"</f>
        <v>201511011738</v>
      </c>
      <c r="G4831" t="s">
        <v>837</v>
      </c>
      <c r="H4831" t="s">
        <v>20</v>
      </c>
      <c r="I4831">
        <v>1546</v>
      </c>
      <c r="J4831" t="s">
        <v>21</v>
      </c>
      <c r="K4831">
        <v>0</v>
      </c>
      <c r="L4831" t="s">
        <v>35</v>
      </c>
      <c r="M4831">
        <v>1223</v>
      </c>
    </row>
    <row r="4832" spans="1:13">
      <c r="A4832">
        <v>4826</v>
      </c>
      <c r="B4832">
        <v>94645</v>
      </c>
      <c r="C4832" t="s">
        <v>10258</v>
      </c>
      <c r="D4832" t="s">
        <v>105</v>
      </c>
      <c r="E4832" t="s">
        <v>10259</v>
      </c>
      <c r="F4832" t="str">
        <f>"00392858"</f>
        <v>00392858</v>
      </c>
      <c r="G4832" t="s">
        <v>1747</v>
      </c>
      <c r="H4832" t="s">
        <v>1748</v>
      </c>
      <c r="I4832">
        <v>1347</v>
      </c>
      <c r="J4832" t="s">
        <v>21</v>
      </c>
      <c r="K4832">
        <v>6</v>
      </c>
      <c r="M4832">
        <v>1028</v>
      </c>
    </row>
    <row r="4833" spans="1:13">
      <c r="A4833">
        <v>4827</v>
      </c>
      <c r="B4833">
        <v>80805</v>
      </c>
      <c r="C4833" t="s">
        <v>10260</v>
      </c>
      <c r="D4833" t="s">
        <v>209</v>
      </c>
      <c r="E4833" t="s">
        <v>10261</v>
      </c>
      <c r="F4833" t="str">
        <f>"00037054"</f>
        <v>00037054</v>
      </c>
      <c r="G4833" t="s">
        <v>1995</v>
      </c>
      <c r="H4833" t="s">
        <v>20</v>
      </c>
      <c r="I4833">
        <v>1508</v>
      </c>
      <c r="J4833" t="s">
        <v>21</v>
      </c>
      <c r="K4833">
        <v>0</v>
      </c>
      <c r="L4833" t="s">
        <v>83</v>
      </c>
      <c r="M4833">
        <v>1348</v>
      </c>
    </row>
    <row r="4834" spans="1:13">
      <c r="A4834">
        <v>4828</v>
      </c>
      <c r="B4834">
        <v>89908</v>
      </c>
      <c r="C4834" t="s">
        <v>10262</v>
      </c>
      <c r="D4834" t="s">
        <v>145</v>
      </c>
      <c r="E4834" t="s">
        <v>10263</v>
      </c>
      <c r="F4834" t="str">
        <f>"201511008722"</f>
        <v>201511008722</v>
      </c>
      <c r="G4834" t="s">
        <v>1321</v>
      </c>
      <c r="H4834" t="s">
        <v>234</v>
      </c>
      <c r="I4834">
        <v>1330</v>
      </c>
      <c r="J4834" t="s">
        <v>21</v>
      </c>
      <c r="K4834">
        <v>0</v>
      </c>
      <c r="M4834">
        <v>1438</v>
      </c>
    </row>
    <row r="4835" spans="1:13">
      <c r="A4835">
        <v>4829</v>
      </c>
      <c r="B4835">
        <v>62453</v>
      </c>
      <c r="C4835" t="s">
        <v>10264</v>
      </c>
      <c r="D4835" t="s">
        <v>121</v>
      </c>
      <c r="E4835" t="s">
        <v>10265</v>
      </c>
      <c r="F4835" t="str">
        <f>"00350985"</f>
        <v>00350985</v>
      </c>
      <c r="G4835" t="s">
        <v>125</v>
      </c>
      <c r="H4835" t="s">
        <v>20</v>
      </c>
      <c r="I4835">
        <v>1507</v>
      </c>
      <c r="J4835" t="s">
        <v>21</v>
      </c>
      <c r="K4835">
        <v>0</v>
      </c>
      <c r="L4835" t="s">
        <v>35</v>
      </c>
      <c r="M4835">
        <v>1183</v>
      </c>
    </row>
    <row r="4836" spans="1:13">
      <c r="A4836">
        <v>4830</v>
      </c>
      <c r="B4836">
        <v>86158</v>
      </c>
      <c r="C4836" t="s">
        <v>10266</v>
      </c>
      <c r="D4836" t="s">
        <v>243</v>
      </c>
      <c r="E4836" t="s">
        <v>10267</v>
      </c>
      <c r="F4836" t="str">
        <f>"00392593"</f>
        <v>00392593</v>
      </c>
      <c r="G4836" t="s">
        <v>1764</v>
      </c>
      <c r="H4836" t="s">
        <v>20</v>
      </c>
      <c r="I4836">
        <v>1532</v>
      </c>
      <c r="J4836" t="s">
        <v>21</v>
      </c>
      <c r="K4836">
        <v>0</v>
      </c>
      <c r="L4836" t="s">
        <v>35</v>
      </c>
      <c r="M4836">
        <v>1100</v>
      </c>
    </row>
    <row r="4837" spans="1:13">
      <c r="A4837">
        <v>4831</v>
      </c>
      <c r="B4837">
        <v>85761</v>
      </c>
      <c r="C4837" t="s">
        <v>10268</v>
      </c>
      <c r="D4837" t="s">
        <v>65</v>
      </c>
      <c r="E4837" t="s">
        <v>10269</v>
      </c>
      <c r="F4837" t="str">
        <f>"00363664"</f>
        <v>00363664</v>
      </c>
      <c r="G4837" t="s">
        <v>107</v>
      </c>
      <c r="H4837" t="s">
        <v>20</v>
      </c>
      <c r="I4837">
        <v>1472</v>
      </c>
      <c r="J4837" t="s">
        <v>21</v>
      </c>
      <c r="K4837">
        <v>0</v>
      </c>
      <c r="L4837" t="s">
        <v>88</v>
      </c>
      <c r="M4837">
        <v>553</v>
      </c>
    </row>
    <row r="4838" spans="1:13">
      <c r="A4838">
        <v>4832</v>
      </c>
      <c r="B4838">
        <v>83070</v>
      </c>
      <c r="C4838" t="s">
        <v>10270</v>
      </c>
      <c r="D4838" t="s">
        <v>105</v>
      </c>
      <c r="E4838" t="s">
        <v>10271</v>
      </c>
      <c r="F4838" t="str">
        <f>"00279643"</f>
        <v>00279643</v>
      </c>
      <c r="G4838" t="s">
        <v>1165</v>
      </c>
      <c r="H4838" t="s">
        <v>20</v>
      </c>
      <c r="I4838">
        <v>1422</v>
      </c>
      <c r="J4838" t="s">
        <v>21</v>
      </c>
      <c r="K4838">
        <v>0</v>
      </c>
      <c r="L4838" t="s">
        <v>35</v>
      </c>
      <c r="M4838">
        <v>1125</v>
      </c>
    </row>
    <row r="4839" spans="1:13">
      <c r="A4839">
        <v>4833</v>
      </c>
      <c r="B4839">
        <v>59339</v>
      </c>
      <c r="C4839" t="s">
        <v>10272</v>
      </c>
      <c r="D4839" t="s">
        <v>2029</v>
      </c>
      <c r="E4839" t="s">
        <v>10273</v>
      </c>
      <c r="F4839" t="str">
        <f>"00259014"</f>
        <v>00259014</v>
      </c>
      <c r="G4839" t="s">
        <v>10274</v>
      </c>
      <c r="H4839" t="s">
        <v>274</v>
      </c>
      <c r="I4839">
        <v>1401</v>
      </c>
      <c r="J4839" t="s">
        <v>21</v>
      </c>
      <c r="K4839">
        <v>0</v>
      </c>
      <c r="M4839">
        <v>1578</v>
      </c>
    </row>
    <row r="4840" spans="1:13">
      <c r="A4840">
        <v>4834</v>
      </c>
      <c r="B4840">
        <v>91812</v>
      </c>
      <c r="C4840" t="s">
        <v>10275</v>
      </c>
      <c r="D4840" t="s">
        <v>105</v>
      </c>
      <c r="E4840" t="s">
        <v>10276</v>
      </c>
      <c r="F4840" t="str">
        <f>"00396260"</f>
        <v>00396260</v>
      </c>
      <c r="G4840" t="s">
        <v>125</v>
      </c>
      <c r="H4840" t="s">
        <v>20</v>
      </c>
      <c r="I4840">
        <v>1507</v>
      </c>
      <c r="J4840" t="s">
        <v>21</v>
      </c>
      <c r="K4840">
        <v>0</v>
      </c>
      <c r="M4840">
        <v>1388</v>
      </c>
    </row>
    <row r="4841" spans="1:13">
      <c r="A4841">
        <v>4835</v>
      </c>
      <c r="B4841">
        <v>110374</v>
      </c>
      <c r="C4841" t="s">
        <v>10277</v>
      </c>
      <c r="D4841" t="s">
        <v>218</v>
      </c>
      <c r="E4841" t="s">
        <v>10278</v>
      </c>
      <c r="F4841" t="str">
        <f>"201510004957"</f>
        <v>201510004957</v>
      </c>
      <c r="G4841" t="s">
        <v>111</v>
      </c>
      <c r="H4841" t="s">
        <v>48</v>
      </c>
      <c r="I4841">
        <v>1620</v>
      </c>
      <c r="J4841" t="s">
        <v>21</v>
      </c>
      <c r="K4841">
        <v>0</v>
      </c>
      <c r="M4841">
        <v>1382</v>
      </c>
    </row>
    <row r="4842" spans="1:13">
      <c r="A4842">
        <v>4836</v>
      </c>
      <c r="B4842">
        <v>113769</v>
      </c>
      <c r="C4842" t="s">
        <v>10279</v>
      </c>
      <c r="D4842" t="s">
        <v>243</v>
      </c>
      <c r="E4842" t="s">
        <v>10280</v>
      </c>
      <c r="F4842" t="str">
        <f>"00411394"</f>
        <v>00411394</v>
      </c>
      <c r="G4842" t="s">
        <v>1995</v>
      </c>
      <c r="H4842" t="s">
        <v>20</v>
      </c>
      <c r="I4842">
        <v>1508</v>
      </c>
      <c r="J4842" t="s">
        <v>21</v>
      </c>
      <c r="K4842">
        <v>0</v>
      </c>
      <c r="L4842" t="s">
        <v>35</v>
      </c>
      <c r="M4842">
        <v>972</v>
      </c>
    </row>
    <row r="4843" spans="1:13">
      <c r="A4843">
        <v>4837</v>
      </c>
      <c r="B4843">
        <v>93570</v>
      </c>
      <c r="C4843" t="s">
        <v>10281</v>
      </c>
      <c r="D4843" t="s">
        <v>105</v>
      </c>
      <c r="E4843" t="s">
        <v>10282</v>
      </c>
      <c r="F4843" t="str">
        <f>"00373149"</f>
        <v>00373149</v>
      </c>
      <c r="G4843" t="s">
        <v>2518</v>
      </c>
      <c r="H4843" t="s">
        <v>1610</v>
      </c>
      <c r="I4843">
        <v>1304</v>
      </c>
      <c r="J4843" t="s">
        <v>21</v>
      </c>
      <c r="K4843">
        <v>0</v>
      </c>
      <c r="L4843" t="s">
        <v>35</v>
      </c>
      <c r="M4843">
        <v>1400</v>
      </c>
    </row>
    <row r="4844" spans="1:13">
      <c r="A4844">
        <v>4838</v>
      </c>
      <c r="B4844">
        <v>60874</v>
      </c>
      <c r="C4844" t="s">
        <v>10283</v>
      </c>
      <c r="D4844" t="s">
        <v>76</v>
      </c>
      <c r="E4844" t="s">
        <v>10284</v>
      </c>
      <c r="F4844" t="str">
        <f>"00257025"</f>
        <v>00257025</v>
      </c>
      <c r="G4844" t="s">
        <v>107</v>
      </c>
      <c r="H4844" t="s">
        <v>20</v>
      </c>
      <c r="I4844">
        <v>1472</v>
      </c>
      <c r="J4844" t="s">
        <v>21</v>
      </c>
      <c r="K4844">
        <v>0</v>
      </c>
      <c r="M4844">
        <v>1453</v>
      </c>
    </row>
    <row r="4845" spans="1:13">
      <c r="A4845">
        <v>4839</v>
      </c>
      <c r="B4845">
        <v>75174</v>
      </c>
      <c r="C4845" t="s">
        <v>10285</v>
      </c>
      <c r="D4845" t="s">
        <v>218</v>
      </c>
      <c r="E4845" t="s">
        <v>10286</v>
      </c>
      <c r="F4845" t="str">
        <f>"00340663"</f>
        <v>00340663</v>
      </c>
      <c r="G4845" t="s">
        <v>136</v>
      </c>
      <c r="H4845" t="s">
        <v>137</v>
      </c>
      <c r="I4845">
        <v>1612</v>
      </c>
      <c r="J4845" t="s">
        <v>21</v>
      </c>
      <c r="K4845">
        <v>0</v>
      </c>
      <c r="L4845" t="s">
        <v>35</v>
      </c>
      <c r="M4845">
        <v>1350</v>
      </c>
    </row>
    <row r="4846" spans="1:13">
      <c r="A4846">
        <v>4840</v>
      </c>
      <c r="B4846">
        <v>82738</v>
      </c>
      <c r="C4846" t="s">
        <v>10287</v>
      </c>
      <c r="D4846" t="s">
        <v>180</v>
      </c>
      <c r="E4846" t="s">
        <v>10288</v>
      </c>
      <c r="F4846" t="str">
        <f>"00395515"</f>
        <v>00395515</v>
      </c>
      <c r="G4846" t="s">
        <v>365</v>
      </c>
      <c r="H4846" t="s">
        <v>366</v>
      </c>
      <c r="I4846">
        <v>1692</v>
      </c>
      <c r="J4846" t="s">
        <v>21</v>
      </c>
      <c r="K4846">
        <v>0</v>
      </c>
      <c r="M4846">
        <v>1408</v>
      </c>
    </row>
    <row r="4847" spans="1:13">
      <c r="A4847">
        <v>4841</v>
      </c>
      <c r="B4847">
        <v>56837</v>
      </c>
      <c r="C4847" t="s">
        <v>10289</v>
      </c>
      <c r="D4847" t="s">
        <v>243</v>
      </c>
      <c r="E4847" t="s">
        <v>10290</v>
      </c>
      <c r="F4847" t="str">
        <f>"00368327"</f>
        <v>00368327</v>
      </c>
      <c r="G4847" t="s">
        <v>1107</v>
      </c>
      <c r="H4847" t="s">
        <v>8642</v>
      </c>
      <c r="I4847">
        <v>1640</v>
      </c>
      <c r="J4847" t="s">
        <v>21</v>
      </c>
      <c r="K4847">
        <v>0</v>
      </c>
      <c r="M4847">
        <v>1428</v>
      </c>
    </row>
    <row r="4848" spans="1:13">
      <c r="A4848">
        <v>4842</v>
      </c>
      <c r="B4848">
        <v>81073</v>
      </c>
      <c r="C4848" t="s">
        <v>10291</v>
      </c>
      <c r="D4848" t="s">
        <v>73</v>
      </c>
      <c r="E4848" t="s">
        <v>10292</v>
      </c>
      <c r="F4848" t="str">
        <f>"00091668"</f>
        <v>00091668</v>
      </c>
      <c r="G4848" t="s">
        <v>111</v>
      </c>
      <c r="H4848" t="s">
        <v>48</v>
      </c>
      <c r="I4848">
        <v>1620</v>
      </c>
      <c r="J4848" t="s">
        <v>21</v>
      </c>
      <c r="K4848">
        <v>0</v>
      </c>
      <c r="M4848">
        <v>1388</v>
      </c>
    </row>
    <row r="4849" spans="1:13">
      <c r="A4849">
        <v>4843</v>
      </c>
      <c r="B4849">
        <v>86852</v>
      </c>
      <c r="C4849" t="s">
        <v>10293</v>
      </c>
      <c r="D4849" t="s">
        <v>209</v>
      </c>
      <c r="E4849" t="s">
        <v>10294</v>
      </c>
      <c r="F4849" t="str">
        <f>"00379291"</f>
        <v>00379291</v>
      </c>
      <c r="G4849" t="s">
        <v>1498</v>
      </c>
      <c r="H4849" t="s">
        <v>1499</v>
      </c>
      <c r="I4849">
        <v>1598</v>
      </c>
      <c r="J4849" t="s">
        <v>21</v>
      </c>
      <c r="K4849">
        <v>6</v>
      </c>
      <c r="L4849" t="s">
        <v>35</v>
      </c>
      <c r="M4849">
        <v>1108</v>
      </c>
    </row>
    <row r="4850" spans="1:13">
      <c r="A4850">
        <v>4844</v>
      </c>
      <c r="B4850">
        <v>94579</v>
      </c>
      <c r="C4850" t="s">
        <v>10295</v>
      </c>
      <c r="D4850" t="s">
        <v>209</v>
      </c>
      <c r="E4850" t="s">
        <v>10296</v>
      </c>
      <c r="F4850" t="str">
        <f>"00391028"</f>
        <v>00391028</v>
      </c>
      <c r="G4850" t="s">
        <v>1498</v>
      </c>
      <c r="H4850" t="s">
        <v>1499</v>
      </c>
      <c r="I4850">
        <v>1598</v>
      </c>
      <c r="J4850" t="s">
        <v>21</v>
      </c>
      <c r="K4850">
        <v>6</v>
      </c>
      <c r="L4850" t="s">
        <v>35</v>
      </c>
      <c r="M4850">
        <v>1008</v>
      </c>
    </row>
    <row r="4851" spans="1:13">
      <c r="A4851">
        <v>4845</v>
      </c>
      <c r="B4851">
        <v>56150</v>
      </c>
      <c r="C4851" t="s">
        <v>10297</v>
      </c>
      <c r="D4851" t="s">
        <v>90</v>
      </c>
      <c r="E4851" t="s">
        <v>10298</v>
      </c>
      <c r="F4851" t="str">
        <f>"00371688"</f>
        <v>00371688</v>
      </c>
      <c r="G4851" t="s">
        <v>6799</v>
      </c>
      <c r="H4851" t="s">
        <v>20</v>
      </c>
      <c r="I4851">
        <v>1438</v>
      </c>
      <c r="J4851" t="s">
        <v>21</v>
      </c>
      <c r="K4851">
        <v>6</v>
      </c>
      <c r="M4851">
        <v>1560</v>
      </c>
    </row>
    <row r="4852" spans="1:13">
      <c r="A4852">
        <v>4846</v>
      </c>
      <c r="B4852">
        <v>96880</v>
      </c>
      <c r="C4852" t="s">
        <v>10299</v>
      </c>
      <c r="D4852" t="s">
        <v>76</v>
      </c>
      <c r="E4852" t="s">
        <v>10300</v>
      </c>
      <c r="F4852" t="str">
        <f>"00228260"</f>
        <v>00228260</v>
      </c>
      <c r="G4852" t="s">
        <v>125</v>
      </c>
      <c r="H4852" t="s">
        <v>274</v>
      </c>
      <c r="I4852">
        <v>1386</v>
      </c>
      <c r="J4852" t="s">
        <v>21</v>
      </c>
      <c r="K4852">
        <v>0</v>
      </c>
      <c r="L4852" t="s">
        <v>35</v>
      </c>
      <c r="M4852">
        <v>1200</v>
      </c>
    </row>
    <row r="4853" spans="1:13">
      <c r="A4853">
        <v>4847</v>
      </c>
      <c r="B4853">
        <v>86204</v>
      </c>
      <c r="C4853" t="s">
        <v>10301</v>
      </c>
      <c r="D4853" t="s">
        <v>566</v>
      </c>
      <c r="E4853" t="s">
        <v>10302</v>
      </c>
      <c r="F4853" t="str">
        <f>"00391317"</f>
        <v>00391317</v>
      </c>
      <c r="G4853" t="s">
        <v>107</v>
      </c>
      <c r="H4853" t="s">
        <v>20</v>
      </c>
      <c r="I4853">
        <v>1472</v>
      </c>
      <c r="J4853" t="s">
        <v>21</v>
      </c>
      <c r="K4853">
        <v>0</v>
      </c>
      <c r="L4853" t="s">
        <v>35</v>
      </c>
      <c r="M4853">
        <v>952</v>
      </c>
    </row>
    <row r="4854" spans="1:13">
      <c r="A4854">
        <v>4848</v>
      </c>
      <c r="B4854">
        <v>85115</v>
      </c>
      <c r="C4854" t="s">
        <v>10303</v>
      </c>
      <c r="D4854" t="s">
        <v>495</v>
      </c>
      <c r="E4854" t="s">
        <v>10304</v>
      </c>
      <c r="F4854" t="str">
        <f>"00416392"</f>
        <v>00416392</v>
      </c>
      <c r="G4854" t="s">
        <v>341</v>
      </c>
      <c r="H4854" t="s">
        <v>20</v>
      </c>
      <c r="I4854">
        <v>1553</v>
      </c>
      <c r="J4854" t="s">
        <v>21</v>
      </c>
      <c r="K4854">
        <v>6</v>
      </c>
      <c r="M4854">
        <v>1328</v>
      </c>
    </row>
    <row r="4855" spans="1:13">
      <c r="A4855">
        <v>4849</v>
      </c>
      <c r="B4855">
        <v>102023</v>
      </c>
      <c r="C4855" t="s">
        <v>10305</v>
      </c>
      <c r="D4855" t="s">
        <v>373</v>
      </c>
      <c r="E4855" t="s">
        <v>10306</v>
      </c>
      <c r="F4855" t="str">
        <f>"00384113"</f>
        <v>00384113</v>
      </c>
      <c r="G4855" t="s">
        <v>125</v>
      </c>
      <c r="H4855" t="s">
        <v>20</v>
      </c>
      <c r="I4855">
        <v>1507</v>
      </c>
      <c r="J4855" t="s">
        <v>21</v>
      </c>
      <c r="K4855">
        <v>0</v>
      </c>
      <c r="M4855">
        <v>1528</v>
      </c>
    </row>
    <row r="4856" spans="1:13">
      <c r="A4856">
        <v>4850</v>
      </c>
      <c r="B4856">
        <v>85730</v>
      </c>
      <c r="C4856" t="s">
        <v>10307</v>
      </c>
      <c r="D4856" t="s">
        <v>105</v>
      </c>
      <c r="E4856" t="s">
        <v>10308</v>
      </c>
      <c r="F4856" t="str">
        <f>"00339201"</f>
        <v>00339201</v>
      </c>
      <c r="G4856" t="s">
        <v>107</v>
      </c>
      <c r="H4856" t="s">
        <v>20</v>
      </c>
      <c r="I4856">
        <v>1472</v>
      </c>
      <c r="J4856" t="s">
        <v>21</v>
      </c>
      <c r="K4856">
        <v>0</v>
      </c>
      <c r="L4856" t="s">
        <v>35</v>
      </c>
      <c r="M4856">
        <v>908</v>
      </c>
    </row>
    <row r="4857" spans="1:13">
      <c r="A4857">
        <v>4851</v>
      </c>
      <c r="B4857">
        <v>46261</v>
      </c>
      <c r="C4857" t="s">
        <v>10309</v>
      </c>
      <c r="D4857" t="s">
        <v>2021</v>
      </c>
      <c r="E4857" t="s">
        <v>10310</v>
      </c>
      <c r="F4857" t="str">
        <f>"00321945"</f>
        <v>00321945</v>
      </c>
      <c r="G4857" t="s">
        <v>718</v>
      </c>
      <c r="H4857" t="s">
        <v>48</v>
      </c>
      <c r="I4857">
        <v>1625</v>
      </c>
      <c r="J4857" t="s">
        <v>21</v>
      </c>
      <c r="K4857">
        <v>0</v>
      </c>
      <c r="L4857" t="s">
        <v>35</v>
      </c>
      <c r="M4857">
        <v>1150</v>
      </c>
    </row>
    <row r="4858" spans="1:13">
      <c r="A4858">
        <v>4852</v>
      </c>
      <c r="B4858">
        <v>74878</v>
      </c>
      <c r="C4858" t="s">
        <v>10311</v>
      </c>
      <c r="D4858" t="s">
        <v>209</v>
      </c>
      <c r="E4858" t="s">
        <v>10312</v>
      </c>
      <c r="F4858" t="str">
        <f>"00376061"</f>
        <v>00376061</v>
      </c>
      <c r="G4858" t="s">
        <v>1764</v>
      </c>
      <c r="H4858" t="s">
        <v>20</v>
      </c>
      <c r="I4858">
        <v>1532</v>
      </c>
      <c r="J4858" t="s">
        <v>21</v>
      </c>
      <c r="K4858">
        <v>0</v>
      </c>
      <c r="M4858">
        <v>1528</v>
      </c>
    </row>
    <row r="4859" spans="1:13">
      <c r="A4859">
        <v>4853</v>
      </c>
      <c r="B4859">
        <v>63695</v>
      </c>
      <c r="C4859" t="s">
        <v>10313</v>
      </c>
      <c r="D4859" t="s">
        <v>76</v>
      </c>
      <c r="E4859" t="s">
        <v>10314</v>
      </c>
      <c r="F4859" t="str">
        <f>"00206097"</f>
        <v>00206097</v>
      </c>
      <c r="G4859" t="s">
        <v>561</v>
      </c>
      <c r="H4859" t="s">
        <v>20</v>
      </c>
      <c r="I4859">
        <v>1574</v>
      </c>
      <c r="J4859" t="s">
        <v>21</v>
      </c>
      <c r="K4859">
        <v>0</v>
      </c>
      <c r="L4859" t="s">
        <v>35</v>
      </c>
      <c r="M4859">
        <v>900</v>
      </c>
    </row>
    <row r="4860" spans="1:13">
      <c r="A4860">
        <v>4854</v>
      </c>
      <c r="B4860">
        <v>76840</v>
      </c>
      <c r="C4860" t="s">
        <v>10315</v>
      </c>
      <c r="D4860" t="s">
        <v>80</v>
      </c>
      <c r="E4860" t="s">
        <v>10316</v>
      </c>
      <c r="F4860" t="str">
        <f>"00398358"</f>
        <v>00398358</v>
      </c>
      <c r="G4860" t="s">
        <v>233</v>
      </c>
      <c r="H4860" t="s">
        <v>2515</v>
      </c>
      <c r="I4860">
        <v>1349</v>
      </c>
      <c r="J4860" t="s">
        <v>21</v>
      </c>
      <c r="K4860">
        <v>6</v>
      </c>
      <c r="L4860" t="s">
        <v>35</v>
      </c>
      <c r="M4860">
        <v>659</v>
      </c>
    </row>
    <row r="4861" spans="1:13">
      <c r="A4861">
        <v>4855</v>
      </c>
      <c r="B4861">
        <v>57190</v>
      </c>
      <c r="C4861" t="s">
        <v>10317</v>
      </c>
      <c r="D4861" t="s">
        <v>121</v>
      </c>
      <c r="E4861" t="s">
        <v>10318</v>
      </c>
      <c r="F4861" t="str">
        <f>"00207071"</f>
        <v>00207071</v>
      </c>
      <c r="G4861" t="s">
        <v>299</v>
      </c>
      <c r="H4861" t="s">
        <v>20</v>
      </c>
      <c r="I4861">
        <v>1490</v>
      </c>
      <c r="J4861" t="s">
        <v>21</v>
      </c>
      <c r="K4861">
        <v>0</v>
      </c>
      <c r="M4861">
        <v>1386</v>
      </c>
    </row>
    <row r="4862" spans="1:13">
      <c r="A4862">
        <v>4856</v>
      </c>
      <c r="B4862">
        <v>58493</v>
      </c>
      <c r="C4862" t="s">
        <v>10319</v>
      </c>
      <c r="D4862" t="s">
        <v>563</v>
      </c>
      <c r="E4862" t="s">
        <v>10320</v>
      </c>
      <c r="F4862" t="str">
        <f>"00359501"</f>
        <v>00359501</v>
      </c>
      <c r="G4862" t="s">
        <v>520</v>
      </c>
      <c r="H4862" t="s">
        <v>20</v>
      </c>
      <c r="I4862">
        <v>1540</v>
      </c>
      <c r="J4862" t="s">
        <v>21</v>
      </c>
      <c r="K4862">
        <v>0</v>
      </c>
      <c r="L4862" t="s">
        <v>35</v>
      </c>
      <c r="M4862">
        <v>939</v>
      </c>
    </row>
    <row r="4863" spans="1:13">
      <c r="A4863">
        <v>4857</v>
      </c>
      <c r="B4863">
        <v>105227</v>
      </c>
      <c r="C4863" t="s">
        <v>10321</v>
      </c>
      <c r="D4863" t="s">
        <v>180</v>
      </c>
      <c r="E4863" t="s">
        <v>10322</v>
      </c>
      <c r="F4863" t="str">
        <f>"00378451"</f>
        <v>00378451</v>
      </c>
      <c r="G4863" t="s">
        <v>230</v>
      </c>
      <c r="H4863" t="s">
        <v>20</v>
      </c>
      <c r="I4863">
        <v>1545</v>
      </c>
      <c r="J4863" t="s">
        <v>21</v>
      </c>
      <c r="K4863">
        <v>0</v>
      </c>
      <c r="M4863">
        <v>1528</v>
      </c>
    </row>
    <row r="4864" spans="1:13">
      <c r="A4864">
        <v>4858</v>
      </c>
      <c r="B4864">
        <v>64029</v>
      </c>
      <c r="C4864" t="s">
        <v>10323</v>
      </c>
      <c r="D4864" t="s">
        <v>260</v>
      </c>
      <c r="E4864" t="s">
        <v>10324</v>
      </c>
      <c r="F4864" t="str">
        <f>"00274788"</f>
        <v>00274788</v>
      </c>
      <c r="G4864" t="s">
        <v>2228</v>
      </c>
      <c r="H4864" t="s">
        <v>20</v>
      </c>
      <c r="I4864">
        <v>1469</v>
      </c>
      <c r="J4864" t="s">
        <v>21</v>
      </c>
      <c r="K4864">
        <v>0</v>
      </c>
      <c r="L4864" t="s">
        <v>35</v>
      </c>
      <c r="M4864">
        <v>1383</v>
      </c>
    </row>
    <row r="4865" spans="1:13">
      <c r="A4865">
        <v>4859</v>
      </c>
      <c r="B4865">
        <v>51351</v>
      </c>
      <c r="C4865" t="s">
        <v>10325</v>
      </c>
      <c r="D4865" t="s">
        <v>10326</v>
      </c>
      <c r="E4865" t="s">
        <v>10327</v>
      </c>
      <c r="F4865" t="str">
        <f>"00355767"</f>
        <v>00355767</v>
      </c>
      <c r="G4865" t="s">
        <v>2228</v>
      </c>
      <c r="H4865" t="s">
        <v>20</v>
      </c>
      <c r="I4865">
        <v>1469</v>
      </c>
      <c r="J4865" t="s">
        <v>21</v>
      </c>
      <c r="K4865">
        <v>0</v>
      </c>
      <c r="L4865" t="s">
        <v>35</v>
      </c>
      <c r="M4865">
        <v>1283</v>
      </c>
    </row>
    <row r="4866" spans="1:13">
      <c r="A4866">
        <v>4860</v>
      </c>
      <c r="B4866">
        <v>115310</v>
      </c>
      <c r="C4866" t="s">
        <v>10328</v>
      </c>
      <c r="D4866" t="s">
        <v>951</v>
      </c>
      <c r="E4866" t="s">
        <v>10329</v>
      </c>
      <c r="F4866" t="str">
        <f>"00420334"</f>
        <v>00420334</v>
      </c>
      <c r="G4866" t="s">
        <v>1155</v>
      </c>
      <c r="H4866" t="s">
        <v>20</v>
      </c>
      <c r="I4866">
        <v>1480</v>
      </c>
      <c r="J4866" t="s">
        <v>21</v>
      </c>
      <c r="K4866">
        <v>0</v>
      </c>
      <c r="L4866" t="s">
        <v>35</v>
      </c>
      <c r="M4866">
        <v>1085</v>
      </c>
    </row>
    <row r="4867" spans="1:13">
      <c r="A4867">
        <v>4861</v>
      </c>
      <c r="B4867">
        <v>75135</v>
      </c>
      <c r="C4867" t="s">
        <v>10330</v>
      </c>
      <c r="D4867" t="s">
        <v>145</v>
      </c>
      <c r="E4867" t="s">
        <v>10331</v>
      </c>
      <c r="F4867" t="str">
        <f>"201604001182"</f>
        <v>201604001182</v>
      </c>
      <c r="G4867" t="s">
        <v>47</v>
      </c>
      <c r="H4867" t="s">
        <v>48</v>
      </c>
      <c r="I4867">
        <v>1623</v>
      </c>
      <c r="J4867" t="s">
        <v>21</v>
      </c>
      <c r="K4867">
        <v>0</v>
      </c>
      <c r="L4867" t="s">
        <v>83</v>
      </c>
      <c r="M4867">
        <v>1288</v>
      </c>
    </row>
    <row r="4868" spans="1:13">
      <c r="A4868">
        <v>4862</v>
      </c>
      <c r="B4868">
        <v>56599</v>
      </c>
      <c r="C4868" t="s">
        <v>10332</v>
      </c>
      <c r="D4868" t="s">
        <v>90</v>
      </c>
      <c r="E4868" t="s">
        <v>10333</v>
      </c>
      <c r="F4868" t="str">
        <f>"00287181"</f>
        <v>00287181</v>
      </c>
      <c r="G4868" t="s">
        <v>111</v>
      </c>
      <c r="H4868" t="s">
        <v>48</v>
      </c>
      <c r="I4868">
        <v>1620</v>
      </c>
      <c r="J4868" t="s">
        <v>21</v>
      </c>
      <c r="K4868">
        <v>0</v>
      </c>
      <c r="L4868" t="s">
        <v>35</v>
      </c>
      <c r="M4868">
        <v>1075</v>
      </c>
    </row>
    <row r="4869" spans="1:13">
      <c r="A4869">
        <v>4863</v>
      </c>
      <c r="B4869">
        <v>106762</v>
      </c>
      <c r="C4869" t="s">
        <v>10334</v>
      </c>
      <c r="D4869" t="s">
        <v>700</v>
      </c>
      <c r="E4869" t="s">
        <v>10335</v>
      </c>
      <c r="F4869" t="str">
        <f>"00376151"</f>
        <v>00376151</v>
      </c>
      <c r="G4869" t="s">
        <v>809</v>
      </c>
      <c r="H4869" t="s">
        <v>20</v>
      </c>
      <c r="I4869">
        <v>1504</v>
      </c>
      <c r="J4869" t="s">
        <v>21</v>
      </c>
      <c r="K4869">
        <v>0</v>
      </c>
      <c r="L4869" t="s">
        <v>35</v>
      </c>
      <c r="M4869">
        <v>950</v>
      </c>
    </row>
    <row r="4870" spans="1:13">
      <c r="A4870">
        <v>4864</v>
      </c>
      <c r="B4870">
        <v>89323</v>
      </c>
      <c r="C4870" t="s">
        <v>10336</v>
      </c>
      <c r="D4870" t="s">
        <v>153</v>
      </c>
      <c r="E4870" t="s">
        <v>10337</v>
      </c>
      <c r="F4870" t="str">
        <f>"00403942"</f>
        <v>00403942</v>
      </c>
      <c r="G4870" t="s">
        <v>856</v>
      </c>
      <c r="H4870" t="s">
        <v>366</v>
      </c>
      <c r="I4870">
        <v>1706</v>
      </c>
      <c r="J4870" t="s">
        <v>21</v>
      </c>
      <c r="K4870">
        <v>0</v>
      </c>
      <c r="L4870" t="s">
        <v>35</v>
      </c>
      <c r="M4870">
        <v>975</v>
      </c>
    </row>
    <row r="4871" spans="1:13">
      <c r="A4871">
        <v>4865</v>
      </c>
      <c r="B4871">
        <v>72639</v>
      </c>
      <c r="C4871" t="s">
        <v>10338</v>
      </c>
      <c r="D4871" t="s">
        <v>105</v>
      </c>
      <c r="E4871" t="s">
        <v>10339</v>
      </c>
      <c r="F4871" t="str">
        <f>"00377681"</f>
        <v>00377681</v>
      </c>
      <c r="G4871" t="s">
        <v>125</v>
      </c>
      <c r="H4871" t="s">
        <v>20</v>
      </c>
      <c r="I4871">
        <v>1507</v>
      </c>
      <c r="J4871" t="s">
        <v>21</v>
      </c>
      <c r="K4871">
        <v>0</v>
      </c>
      <c r="L4871" t="s">
        <v>35</v>
      </c>
      <c r="M4871">
        <v>958</v>
      </c>
    </row>
    <row r="4872" spans="1:13">
      <c r="A4872">
        <v>4866</v>
      </c>
      <c r="B4872">
        <v>47468</v>
      </c>
      <c r="C4872" t="s">
        <v>10340</v>
      </c>
      <c r="D4872" t="s">
        <v>105</v>
      </c>
      <c r="E4872" t="s">
        <v>10341</v>
      </c>
      <c r="F4872" t="str">
        <f>"00309018"</f>
        <v>00309018</v>
      </c>
      <c r="G4872" t="s">
        <v>63</v>
      </c>
      <c r="H4872" t="s">
        <v>20</v>
      </c>
      <c r="I4872">
        <v>1576</v>
      </c>
      <c r="J4872" t="s">
        <v>21</v>
      </c>
      <c r="K4872">
        <v>0</v>
      </c>
      <c r="L4872" t="s">
        <v>35</v>
      </c>
      <c r="M4872">
        <v>1275</v>
      </c>
    </row>
    <row r="4873" spans="1:13">
      <c r="A4873">
        <v>4867</v>
      </c>
      <c r="B4873">
        <v>55339</v>
      </c>
      <c r="C4873" t="s">
        <v>10342</v>
      </c>
      <c r="D4873" t="s">
        <v>90</v>
      </c>
      <c r="E4873" t="s">
        <v>10343</v>
      </c>
      <c r="F4873" t="str">
        <f>"00260934"</f>
        <v>00260934</v>
      </c>
      <c r="G4873" t="s">
        <v>167</v>
      </c>
      <c r="H4873" t="s">
        <v>20</v>
      </c>
      <c r="I4873">
        <v>1486</v>
      </c>
      <c r="J4873" t="s">
        <v>21</v>
      </c>
      <c r="K4873">
        <v>0</v>
      </c>
      <c r="L4873" t="s">
        <v>59</v>
      </c>
      <c r="M4873">
        <v>1088</v>
      </c>
    </row>
    <row r="4874" spans="1:13">
      <c r="A4874">
        <v>4868</v>
      </c>
      <c r="B4874">
        <v>96158</v>
      </c>
      <c r="C4874" t="s">
        <v>10344</v>
      </c>
      <c r="D4874" t="s">
        <v>316</v>
      </c>
      <c r="E4874" t="s">
        <v>10345</v>
      </c>
      <c r="F4874" t="str">
        <f>"00302608"</f>
        <v>00302608</v>
      </c>
      <c r="G4874" t="s">
        <v>258</v>
      </c>
      <c r="H4874" t="s">
        <v>20</v>
      </c>
      <c r="I4874">
        <v>1484</v>
      </c>
      <c r="J4874" t="s">
        <v>21</v>
      </c>
      <c r="K4874">
        <v>0</v>
      </c>
      <c r="L4874" t="s">
        <v>35</v>
      </c>
      <c r="M4874">
        <v>1034</v>
      </c>
    </row>
    <row r="4875" spans="1:13">
      <c r="A4875">
        <v>4869</v>
      </c>
      <c r="B4875">
        <v>66105</v>
      </c>
      <c r="C4875" t="s">
        <v>10346</v>
      </c>
      <c r="D4875" t="s">
        <v>80</v>
      </c>
      <c r="E4875" t="s">
        <v>10347</v>
      </c>
      <c r="F4875" t="str">
        <f>"00399385"</f>
        <v>00399385</v>
      </c>
      <c r="G4875" t="s">
        <v>47</v>
      </c>
      <c r="H4875" t="s">
        <v>48</v>
      </c>
      <c r="I4875">
        <v>1623</v>
      </c>
      <c r="J4875" t="s">
        <v>21</v>
      </c>
      <c r="K4875">
        <v>0</v>
      </c>
      <c r="M4875">
        <v>1518</v>
      </c>
    </row>
    <row r="4876" spans="1:13">
      <c r="A4876">
        <v>4870</v>
      </c>
      <c r="B4876">
        <v>67480</v>
      </c>
      <c r="C4876" t="s">
        <v>10348</v>
      </c>
      <c r="D4876" t="s">
        <v>90</v>
      </c>
      <c r="E4876" t="s">
        <v>10349</v>
      </c>
      <c r="F4876" t="str">
        <f>"00369852"</f>
        <v>00369852</v>
      </c>
      <c r="G4876" t="s">
        <v>561</v>
      </c>
      <c r="H4876" t="s">
        <v>20</v>
      </c>
      <c r="I4876">
        <v>1574</v>
      </c>
      <c r="J4876" t="s">
        <v>21</v>
      </c>
      <c r="K4876">
        <v>0</v>
      </c>
      <c r="M4876">
        <v>1320</v>
      </c>
    </row>
    <row r="4877" spans="1:13">
      <c r="A4877">
        <v>4871</v>
      </c>
      <c r="B4877">
        <v>95892</v>
      </c>
      <c r="C4877" t="s">
        <v>10350</v>
      </c>
      <c r="D4877" t="s">
        <v>218</v>
      </c>
      <c r="E4877" t="s">
        <v>10351</v>
      </c>
      <c r="F4877" t="str">
        <f>"00408210"</f>
        <v>00408210</v>
      </c>
      <c r="G4877" t="s">
        <v>125</v>
      </c>
      <c r="H4877" t="s">
        <v>274</v>
      </c>
      <c r="I4877">
        <v>1386</v>
      </c>
      <c r="J4877" t="s">
        <v>21</v>
      </c>
      <c r="K4877">
        <v>0</v>
      </c>
      <c r="M4877">
        <v>1724</v>
      </c>
    </row>
    <row r="4878" spans="1:13">
      <c r="A4878">
        <v>4872</v>
      </c>
      <c r="B4878">
        <v>70564</v>
      </c>
      <c r="C4878" t="s">
        <v>10352</v>
      </c>
      <c r="D4878" t="s">
        <v>209</v>
      </c>
      <c r="E4878" t="s">
        <v>10353</v>
      </c>
      <c r="F4878" t="str">
        <f>"201402010146"</f>
        <v>201402010146</v>
      </c>
      <c r="G4878" t="s">
        <v>5804</v>
      </c>
      <c r="H4878" t="s">
        <v>2356</v>
      </c>
      <c r="I4878">
        <v>1653</v>
      </c>
      <c r="J4878" t="s">
        <v>21</v>
      </c>
      <c r="K4878">
        <v>0</v>
      </c>
      <c r="L4878" t="s">
        <v>35</v>
      </c>
      <c r="M4878">
        <v>958</v>
      </c>
    </row>
    <row r="4879" spans="1:13">
      <c r="A4879">
        <v>4873</v>
      </c>
      <c r="B4879">
        <v>88199</v>
      </c>
      <c r="C4879" t="s">
        <v>10354</v>
      </c>
      <c r="D4879" t="s">
        <v>76</v>
      </c>
      <c r="E4879" t="s">
        <v>10355</v>
      </c>
      <c r="F4879" t="str">
        <f>"00313039"</f>
        <v>00313039</v>
      </c>
      <c r="G4879" t="s">
        <v>47</v>
      </c>
      <c r="H4879" t="s">
        <v>48</v>
      </c>
      <c r="I4879">
        <v>1623</v>
      </c>
      <c r="J4879" t="s">
        <v>21</v>
      </c>
      <c r="K4879">
        <v>0</v>
      </c>
      <c r="L4879" t="s">
        <v>35</v>
      </c>
      <c r="M4879">
        <v>900</v>
      </c>
    </row>
    <row r="4880" spans="1:13">
      <c r="A4880">
        <v>4874</v>
      </c>
      <c r="B4880">
        <v>62924</v>
      </c>
      <c r="C4880" t="s">
        <v>10356</v>
      </c>
      <c r="D4880" t="s">
        <v>76</v>
      </c>
      <c r="E4880" t="s">
        <v>10357</v>
      </c>
      <c r="F4880" t="str">
        <f>"00236997"</f>
        <v>00236997</v>
      </c>
      <c r="G4880" t="s">
        <v>352</v>
      </c>
      <c r="H4880" t="s">
        <v>20</v>
      </c>
      <c r="I4880">
        <v>1471</v>
      </c>
      <c r="J4880" t="s">
        <v>21</v>
      </c>
      <c r="K4880">
        <v>0</v>
      </c>
      <c r="M4880">
        <v>1516</v>
      </c>
    </row>
    <row r="4881" spans="1:13">
      <c r="A4881">
        <v>4875</v>
      </c>
      <c r="B4881">
        <v>56245</v>
      </c>
      <c r="C4881" t="s">
        <v>10358</v>
      </c>
      <c r="D4881" t="s">
        <v>2130</v>
      </c>
      <c r="E4881" t="s">
        <v>10359</v>
      </c>
      <c r="F4881" t="str">
        <f>"00090018"</f>
        <v>00090018</v>
      </c>
      <c r="G4881" t="s">
        <v>5212</v>
      </c>
      <c r="H4881" t="s">
        <v>20</v>
      </c>
      <c r="I4881">
        <v>1566</v>
      </c>
      <c r="J4881" t="s">
        <v>21</v>
      </c>
      <c r="K4881">
        <v>0</v>
      </c>
      <c r="L4881" t="s">
        <v>35</v>
      </c>
      <c r="M4881">
        <v>1174</v>
      </c>
    </row>
    <row r="4882" spans="1:13">
      <c r="A4882">
        <v>4876</v>
      </c>
      <c r="B4882">
        <v>90349</v>
      </c>
      <c r="C4882" t="s">
        <v>10360</v>
      </c>
      <c r="D4882" t="s">
        <v>90</v>
      </c>
      <c r="E4882" t="s">
        <v>10361</v>
      </c>
      <c r="F4882" t="str">
        <f>"00381959"</f>
        <v>00381959</v>
      </c>
      <c r="G4882" t="s">
        <v>798</v>
      </c>
      <c r="H4882" t="s">
        <v>326</v>
      </c>
      <c r="I4882">
        <v>1593</v>
      </c>
      <c r="J4882" t="s">
        <v>21</v>
      </c>
      <c r="K4882">
        <v>0</v>
      </c>
      <c r="L4882" t="s">
        <v>35</v>
      </c>
      <c r="M4882">
        <v>1058</v>
      </c>
    </row>
    <row r="4883" spans="1:13">
      <c r="A4883">
        <v>4877</v>
      </c>
      <c r="B4883">
        <v>91925</v>
      </c>
      <c r="C4883" t="s">
        <v>10362</v>
      </c>
      <c r="D4883" t="s">
        <v>76</v>
      </c>
      <c r="E4883" t="s">
        <v>10363</v>
      </c>
      <c r="F4883" t="str">
        <f>"00408179"</f>
        <v>00408179</v>
      </c>
      <c r="G4883" t="s">
        <v>791</v>
      </c>
      <c r="H4883" t="s">
        <v>20</v>
      </c>
      <c r="I4883">
        <v>1506</v>
      </c>
      <c r="J4883" t="s">
        <v>21</v>
      </c>
      <c r="K4883">
        <v>0</v>
      </c>
      <c r="M4883">
        <v>1388</v>
      </c>
    </row>
    <row r="4884" spans="1:13">
      <c r="A4884">
        <v>4878</v>
      </c>
      <c r="B4884">
        <v>74589</v>
      </c>
      <c r="C4884" t="s">
        <v>10364</v>
      </c>
      <c r="D4884" t="s">
        <v>102</v>
      </c>
      <c r="E4884" t="s">
        <v>10365</v>
      </c>
      <c r="F4884" t="str">
        <f>"00416820"</f>
        <v>00416820</v>
      </c>
      <c r="G4884" t="s">
        <v>294</v>
      </c>
      <c r="H4884" t="s">
        <v>20</v>
      </c>
      <c r="I4884">
        <v>1421</v>
      </c>
      <c r="J4884" t="s">
        <v>21</v>
      </c>
      <c r="K4884">
        <v>0</v>
      </c>
      <c r="M4884">
        <v>1488</v>
      </c>
    </row>
    <row r="4885" spans="1:13">
      <c r="A4885">
        <v>4879</v>
      </c>
      <c r="B4885">
        <v>84785</v>
      </c>
      <c r="C4885" t="s">
        <v>10366</v>
      </c>
      <c r="D4885" t="s">
        <v>80</v>
      </c>
      <c r="E4885" t="s">
        <v>10367</v>
      </c>
      <c r="F4885" t="str">
        <f>"00382042"</f>
        <v>00382042</v>
      </c>
      <c r="G4885" t="s">
        <v>527</v>
      </c>
      <c r="H4885" t="s">
        <v>20</v>
      </c>
      <c r="I4885">
        <v>1568</v>
      </c>
      <c r="J4885" t="s">
        <v>21</v>
      </c>
      <c r="K4885">
        <v>0</v>
      </c>
      <c r="L4885" t="s">
        <v>83</v>
      </c>
      <c r="M4885">
        <v>1228</v>
      </c>
    </row>
    <row r="4886" spans="1:13">
      <c r="A4886">
        <v>4880</v>
      </c>
      <c r="B4886">
        <v>51581</v>
      </c>
      <c r="C4886" t="s">
        <v>10368</v>
      </c>
      <c r="D4886" t="s">
        <v>218</v>
      </c>
      <c r="E4886" t="s">
        <v>10369</v>
      </c>
      <c r="F4886" t="str">
        <f>"00358836"</f>
        <v>00358836</v>
      </c>
      <c r="G4886" t="s">
        <v>856</v>
      </c>
      <c r="H4886" t="s">
        <v>857</v>
      </c>
      <c r="I4886">
        <v>1661</v>
      </c>
      <c r="J4886" t="s">
        <v>21</v>
      </c>
      <c r="K4886">
        <v>0</v>
      </c>
      <c r="L4886" t="s">
        <v>35</v>
      </c>
      <c r="M4886">
        <v>1100</v>
      </c>
    </row>
    <row r="4887" spans="1:13">
      <c r="A4887">
        <v>4881</v>
      </c>
      <c r="B4887">
        <v>59224</v>
      </c>
      <c r="C4887" t="s">
        <v>10370</v>
      </c>
      <c r="D4887" t="s">
        <v>238</v>
      </c>
      <c r="E4887" t="s">
        <v>10371</v>
      </c>
      <c r="F4887" t="str">
        <f>"00372837"</f>
        <v>00372837</v>
      </c>
      <c r="G4887" t="s">
        <v>955</v>
      </c>
      <c r="H4887" t="s">
        <v>48</v>
      </c>
      <c r="I4887">
        <v>1630</v>
      </c>
      <c r="J4887" t="s">
        <v>21</v>
      </c>
      <c r="K4887">
        <v>0</v>
      </c>
      <c r="L4887" t="s">
        <v>35</v>
      </c>
      <c r="M4887">
        <v>858</v>
      </c>
    </row>
    <row r="4888" spans="1:13">
      <c r="A4888">
        <v>4882</v>
      </c>
      <c r="B4888">
        <v>112381</v>
      </c>
      <c r="C4888" t="s">
        <v>10372</v>
      </c>
      <c r="D4888" t="s">
        <v>76</v>
      </c>
      <c r="E4888" t="s">
        <v>10373</v>
      </c>
      <c r="F4888" t="str">
        <f>"00409126"</f>
        <v>00409126</v>
      </c>
      <c r="G4888" t="s">
        <v>82</v>
      </c>
      <c r="H4888" t="s">
        <v>20</v>
      </c>
      <c r="I4888">
        <v>1475</v>
      </c>
      <c r="J4888" t="s">
        <v>21</v>
      </c>
      <c r="K4888">
        <v>0</v>
      </c>
      <c r="L4888" t="s">
        <v>35</v>
      </c>
      <c r="M4888">
        <v>1008</v>
      </c>
    </row>
    <row r="4889" spans="1:13">
      <c r="A4889">
        <v>4883</v>
      </c>
      <c r="B4889">
        <v>46921</v>
      </c>
      <c r="C4889" t="s">
        <v>10374</v>
      </c>
      <c r="D4889" t="s">
        <v>711</v>
      </c>
      <c r="E4889" t="s">
        <v>10375</v>
      </c>
      <c r="F4889" t="str">
        <f>"00350874"</f>
        <v>00350874</v>
      </c>
      <c r="G4889" t="s">
        <v>19</v>
      </c>
      <c r="H4889" t="s">
        <v>20</v>
      </c>
      <c r="I4889">
        <v>1531</v>
      </c>
      <c r="J4889" t="s">
        <v>21</v>
      </c>
      <c r="K4889">
        <v>0</v>
      </c>
      <c r="L4889" t="s">
        <v>35</v>
      </c>
      <c r="M4889">
        <v>900</v>
      </c>
    </row>
    <row r="4890" spans="1:13">
      <c r="A4890">
        <v>4884</v>
      </c>
      <c r="B4890">
        <v>98147</v>
      </c>
      <c r="C4890" t="s">
        <v>10376</v>
      </c>
      <c r="D4890" t="s">
        <v>80</v>
      </c>
      <c r="E4890" t="s">
        <v>10377</v>
      </c>
      <c r="F4890" t="str">
        <f>"00370003"</f>
        <v>00370003</v>
      </c>
      <c r="G4890" t="s">
        <v>1742</v>
      </c>
      <c r="H4890" t="s">
        <v>241</v>
      </c>
      <c r="I4890">
        <v>1365</v>
      </c>
      <c r="J4890" t="s">
        <v>21</v>
      </c>
      <c r="K4890">
        <v>0</v>
      </c>
      <c r="L4890" t="s">
        <v>59</v>
      </c>
      <c r="M4890">
        <v>1160</v>
      </c>
    </row>
    <row r="4891" spans="1:13">
      <c r="A4891">
        <v>4885</v>
      </c>
      <c r="B4891">
        <v>115975</v>
      </c>
      <c r="C4891" t="s">
        <v>10378</v>
      </c>
      <c r="D4891" t="s">
        <v>153</v>
      </c>
      <c r="E4891" t="s">
        <v>10379</v>
      </c>
      <c r="F4891" t="str">
        <f>"00346109"</f>
        <v>00346109</v>
      </c>
      <c r="G4891" t="s">
        <v>47</v>
      </c>
      <c r="H4891" t="s">
        <v>48</v>
      </c>
      <c r="I4891">
        <v>1623</v>
      </c>
      <c r="J4891" t="s">
        <v>21</v>
      </c>
      <c r="K4891">
        <v>0</v>
      </c>
      <c r="L4891" t="s">
        <v>35</v>
      </c>
      <c r="M4891">
        <v>1058</v>
      </c>
    </row>
    <row r="4892" spans="1:13">
      <c r="A4892">
        <v>4886</v>
      </c>
      <c r="B4892">
        <v>108144</v>
      </c>
      <c r="C4892" t="s">
        <v>10380</v>
      </c>
      <c r="D4892" t="s">
        <v>10381</v>
      </c>
      <c r="E4892" t="s">
        <v>10382</v>
      </c>
      <c r="F4892" t="str">
        <f>"00421851"</f>
        <v>00421851</v>
      </c>
      <c r="G4892" t="s">
        <v>883</v>
      </c>
      <c r="H4892" t="s">
        <v>270</v>
      </c>
      <c r="I4892">
        <v>1585</v>
      </c>
      <c r="J4892" t="s">
        <v>21</v>
      </c>
      <c r="K4892">
        <v>0</v>
      </c>
      <c r="M4892">
        <v>1407</v>
      </c>
    </row>
    <row r="4893" spans="1:13">
      <c r="A4893">
        <v>4887</v>
      </c>
      <c r="B4893">
        <v>83648</v>
      </c>
      <c r="C4893" t="s">
        <v>10383</v>
      </c>
      <c r="D4893" t="s">
        <v>76</v>
      </c>
      <c r="E4893" t="s">
        <v>10384</v>
      </c>
      <c r="F4893" t="str">
        <f>"00247974"</f>
        <v>00247974</v>
      </c>
      <c r="G4893" t="s">
        <v>29</v>
      </c>
      <c r="H4893" t="s">
        <v>20</v>
      </c>
      <c r="I4893">
        <v>1446</v>
      </c>
      <c r="J4893" t="s">
        <v>21</v>
      </c>
      <c r="K4893">
        <v>0</v>
      </c>
      <c r="L4893" t="s">
        <v>83</v>
      </c>
      <c r="M4893">
        <v>1288</v>
      </c>
    </row>
    <row r="4894" spans="1:13">
      <c r="A4894">
        <v>4888</v>
      </c>
      <c r="B4894">
        <v>98607</v>
      </c>
      <c r="C4894" t="s">
        <v>10385</v>
      </c>
      <c r="D4894" t="s">
        <v>914</v>
      </c>
      <c r="E4894" t="s">
        <v>10386</v>
      </c>
      <c r="F4894" t="str">
        <f>"00022276"</f>
        <v>00022276</v>
      </c>
      <c r="G4894" t="s">
        <v>2164</v>
      </c>
      <c r="H4894" t="s">
        <v>20</v>
      </c>
      <c r="I4894">
        <v>1495</v>
      </c>
      <c r="J4894" t="s">
        <v>21</v>
      </c>
      <c r="K4894">
        <v>6</v>
      </c>
      <c r="M4894">
        <v>1828</v>
      </c>
    </row>
    <row r="4895" spans="1:13">
      <c r="A4895">
        <v>4889</v>
      </c>
      <c r="B4895">
        <v>51732</v>
      </c>
      <c r="C4895" t="s">
        <v>10387</v>
      </c>
      <c r="D4895" t="s">
        <v>76</v>
      </c>
      <c r="E4895" t="s">
        <v>10388</v>
      </c>
      <c r="F4895" t="str">
        <f>"00364349"</f>
        <v>00364349</v>
      </c>
      <c r="G4895" t="s">
        <v>8363</v>
      </c>
      <c r="H4895" t="s">
        <v>20</v>
      </c>
      <c r="I4895">
        <v>1478</v>
      </c>
      <c r="J4895" t="s">
        <v>21</v>
      </c>
      <c r="K4895">
        <v>6</v>
      </c>
      <c r="M4895">
        <v>1261</v>
      </c>
    </row>
    <row r="4896" spans="1:13">
      <c r="A4896">
        <v>4890</v>
      </c>
      <c r="B4896">
        <v>87345</v>
      </c>
      <c r="C4896" t="s">
        <v>10389</v>
      </c>
      <c r="D4896" t="s">
        <v>80</v>
      </c>
      <c r="E4896" t="s">
        <v>10390</v>
      </c>
      <c r="F4896" t="str">
        <f>"00334887"</f>
        <v>00334887</v>
      </c>
      <c r="G4896" t="s">
        <v>760</v>
      </c>
      <c r="H4896" t="s">
        <v>20</v>
      </c>
      <c r="I4896">
        <v>1432</v>
      </c>
      <c r="J4896" t="s">
        <v>21</v>
      </c>
      <c r="K4896">
        <v>0</v>
      </c>
      <c r="L4896" t="s">
        <v>35</v>
      </c>
      <c r="M4896">
        <v>1300</v>
      </c>
    </row>
    <row r="4897" spans="1:13">
      <c r="A4897">
        <v>4891</v>
      </c>
      <c r="B4897">
        <v>51334</v>
      </c>
      <c r="C4897" t="s">
        <v>10391</v>
      </c>
      <c r="D4897" t="s">
        <v>145</v>
      </c>
      <c r="E4897" t="s">
        <v>10392</v>
      </c>
      <c r="F4897" t="str">
        <f>"00248318"</f>
        <v>00248318</v>
      </c>
      <c r="G4897" t="s">
        <v>47</v>
      </c>
      <c r="H4897" t="s">
        <v>48</v>
      </c>
      <c r="I4897">
        <v>1623</v>
      </c>
      <c r="J4897" t="s">
        <v>21</v>
      </c>
      <c r="K4897">
        <v>0</v>
      </c>
      <c r="M4897">
        <v>1328</v>
      </c>
    </row>
    <row r="4898" spans="1:13">
      <c r="A4898">
        <v>4892</v>
      </c>
      <c r="B4898">
        <v>86035</v>
      </c>
      <c r="C4898" t="s">
        <v>10393</v>
      </c>
      <c r="D4898" t="s">
        <v>6973</v>
      </c>
      <c r="E4898" t="s">
        <v>10394</v>
      </c>
      <c r="F4898" t="str">
        <f>"00320808"</f>
        <v>00320808</v>
      </c>
      <c r="G4898" t="s">
        <v>1753</v>
      </c>
      <c r="H4898" t="s">
        <v>20</v>
      </c>
      <c r="I4898">
        <v>1544</v>
      </c>
      <c r="J4898" t="s">
        <v>21</v>
      </c>
      <c r="K4898">
        <v>0</v>
      </c>
      <c r="L4898" t="s">
        <v>35</v>
      </c>
      <c r="M4898">
        <v>974</v>
      </c>
    </row>
    <row r="4899" spans="1:13">
      <c r="A4899">
        <v>4893</v>
      </c>
      <c r="B4899">
        <v>62917</v>
      </c>
      <c r="C4899" t="s">
        <v>10395</v>
      </c>
      <c r="D4899" t="s">
        <v>243</v>
      </c>
      <c r="E4899" t="s">
        <v>10396</v>
      </c>
      <c r="F4899" t="str">
        <f>"00358377"</f>
        <v>00358377</v>
      </c>
      <c r="G4899" t="s">
        <v>3888</v>
      </c>
      <c r="H4899" t="s">
        <v>1610</v>
      </c>
      <c r="I4899">
        <v>1306</v>
      </c>
      <c r="J4899" t="s">
        <v>21</v>
      </c>
      <c r="K4899">
        <v>0</v>
      </c>
      <c r="M4899">
        <v>1693</v>
      </c>
    </row>
    <row r="4900" spans="1:13">
      <c r="A4900">
        <v>4894</v>
      </c>
      <c r="B4900">
        <v>109468</v>
      </c>
      <c r="C4900" t="s">
        <v>10397</v>
      </c>
      <c r="D4900" t="s">
        <v>65</v>
      </c>
      <c r="E4900" t="s">
        <v>10398</v>
      </c>
      <c r="F4900" t="str">
        <f>"00416270"</f>
        <v>00416270</v>
      </c>
      <c r="G4900" t="s">
        <v>583</v>
      </c>
      <c r="H4900" t="s">
        <v>137</v>
      </c>
      <c r="I4900">
        <v>1601</v>
      </c>
      <c r="J4900" t="s">
        <v>21</v>
      </c>
      <c r="K4900">
        <v>0</v>
      </c>
      <c r="L4900" t="s">
        <v>88</v>
      </c>
      <c r="M4900">
        <v>650</v>
      </c>
    </row>
    <row r="4901" spans="1:13">
      <c r="A4901">
        <v>4895</v>
      </c>
      <c r="B4901">
        <v>99632</v>
      </c>
      <c r="C4901" t="s">
        <v>10399</v>
      </c>
      <c r="D4901" t="s">
        <v>105</v>
      </c>
      <c r="E4901" t="s">
        <v>10400</v>
      </c>
      <c r="F4901" t="str">
        <f>"201510001212"</f>
        <v>201510001212</v>
      </c>
      <c r="G4901" t="s">
        <v>1226</v>
      </c>
      <c r="H4901" t="s">
        <v>137</v>
      </c>
      <c r="I4901">
        <v>1607</v>
      </c>
      <c r="J4901" t="s">
        <v>21</v>
      </c>
      <c r="K4901">
        <v>0</v>
      </c>
      <c r="M4901">
        <v>1518</v>
      </c>
    </row>
    <row r="4902" spans="1:13">
      <c r="A4902">
        <v>4896</v>
      </c>
      <c r="B4902">
        <v>83602</v>
      </c>
      <c r="C4902" t="s">
        <v>10401</v>
      </c>
      <c r="D4902" t="s">
        <v>121</v>
      </c>
      <c r="E4902" t="s">
        <v>10402</v>
      </c>
      <c r="F4902" t="str">
        <f>"00356482"</f>
        <v>00356482</v>
      </c>
      <c r="G4902" t="s">
        <v>593</v>
      </c>
      <c r="H4902" t="s">
        <v>20</v>
      </c>
      <c r="I4902">
        <v>1444</v>
      </c>
      <c r="J4902" t="s">
        <v>21</v>
      </c>
      <c r="K4902">
        <v>0</v>
      </c>
      <c r="M4902">
        <v>1642</v>
      </c>
    </row>
    <row r="4903" spans="1:13">
      <c r="A4903">
        <v>4897</v>
      </c>
      <c r="B4903">
        <v>105518</v>
      </c>
      <c r="C4903" t="s">
        <v>10403</v>
      </c>
      <c r="D4903" t="s">
        <v>105</v>
      </c>
      <c r="E4903" t="s">
        <v>10404</v>
      </c>
      <c r="F4903" t="str">
        <f>"201511005304"</f>
        <v>201511005304</v>
      </c>
      <c r="G4903" t="s">
        <v>29</v>
      </c>
      <c r="H4903" t="s">
        <v>20</v>
      </c>
      <c r="I4903">
        <v>1446</v>
      </c>
      <c r="J4903" t="s">
        <v>21</v>
      </c>
      <c r="K4903">
        <v>0</v>
      </c>
      <c r="L4903" t="s">
        <v>35</v>
      </c>
      <c r="M4903">
        <v>1000</v>
      </c>
    </row>
    <row r="4904" spans="1:13">
      <c r="A4904">
        <v>4898</v>
      </c>
      <c r="B4904">
        <v>97797</v>
      </c>
      <c r="C4904" t="s">
        <v>10405</v>
      </c>
      <c r="D4904" t="s">
        <v>557</v>
      </c>
      <c r="E4904" t="s">
        <v>10406</v>
      </c>
      <c r="F4904" t="str">
        <f>"00095496"</f>
        <v>00095496</v>
      </c>
      <c r="G4904" t="s">
        <v>639</v>
      </c>
      <c r="H4904" t="s">
        <v>48</v>
      </c>
      <c r="I4904">
        <v>1629</v>
      </c>
      <c r="J4904" t="s">
        <v>21</v>
      </c>
      <c r="K4904">
        <v>0</v>
      </c>
      <c r="L4904" t="s">
        <v>83</v>
      </c>
      <c r="M4904">
        <v>1228</v>
      </c>
    </row>
    <row r="4905" spans="1:13">
      <c r="A4905">
        <v>4899</v>
      </c>
      <c r="B4905">
        <v>80112</v>
      </c>
      <c r="C4905" t="s">
        <v>10407</v>
      </c>
      <c r="D4905" t="s">
        <v>73</v>
      </c>
      <c r="E4905" t="s">
        <v>10408</v>
      </c>
      <c r="F4905" t="str">
        <f>"00261590"</f>
        <v>00261590</v>
      </c>
      <c r="G4905" t="s">
        <v>1695</v>
      </c>
      <c r="H4905" t="s">
        <v>20</v>
      </c>
      <c r="I4905">
        <v>1533</v>
      </c>
      <c r="J4905" t="s">
        <v>21</v>
      </c>
      <c r="K4905">
        <v>0</v>
      </c>
      <c r="L4905" t="s">
        <v>83</v>
      </c>
      <c r="M4905">
        <v>1258</v>
      </c>
    </row>
    <row r="4906" spans="1:13">
      <c r="A4906">
        <v>4900</v>
      </c>
      <c r="B4906">
        <v>67633</v>
      </c>
      <c r="C4906" t="s">
        <v>10409</v>
      </c>
      <c r="D4906" t="s">
        <v>102</v>
      </c>
      <c r="E4906" t="s">
        <v>10410</v>
      </c>
      <c r="F4906" t="str">
        <f>"00247640"</f>
        <v>00247640</v>
      </c>
      <c r="G4906" t="s">
        <v>294</v>
      </c>
      <c r="H4906" t="s">
        <v>20</v>
      </c>
      <c r="I4906">
        <v>1421</v>
      </c>
      <c r="J4906" t="s">
        <v>21</v>
      </c>
      <c r="K4906">
        <v>0</v>
      </c>
      <c r="L4906" t="s">
        <v>35</v>
      </c>
      <c r="M4906">
        <v>1058</v>
      </c>
    </row>
    <row r="4907" spans="1:13">
      <c r="A4907">
        <v>4901</v>
      </c>
      <c r="B4907">
        <v>113173</v>
      </c>
      <c r="C4907" t="s">
        <v>10411</v>
      </c>
      <c r="D4907" t="s">
        <v>102</v>
      </c>
      <c r="E4907" t="s">
        <v>10412</v>
      </c>
      <c r="F4907" t="str">
        <f>"00248247"</f>
        <v>00248247</v>
      </c>
      <c r="G4907" t="s">
        <v>1079</v>
      </c>
      <c r="H4907" t="s">
        <v>20</v>
      </c>
      <c r="I4907">
        <v>1433</v>
      </c>
      <c r="J4907" t="s">
        <v>21</v>
      </c>
      <c r="K4907">
        <v>0</v>
      </c>
      <c r="M4907">
        <v>1548</v>
      </c>
    </row>
    <row r="4908" spans="1:13">
      <c r="A4908">
        <v>4902</v>
      </c>
      <c r="B4908">
        <v>104143</v>
      </c>
      <c r="C4908" t="s">
        <v>10413</v>
      </c>
      <c r="D4908" t="s">
        <v>218</v>
      </c>
      <c r="E4908" t="s">
        <v>10414</v>
      </c>
      <c r="F4908" t="str">
        <f>"00368422"</f>
        <v>00368422</v>
      </c>
      <c r="G4908" t="s">
        <v>329</v>
      </c>
      <c r="H4908" t="s">
        <v>20</v>
      </c>
      <c r="I4908">
        <v>1509</v>
      </c>
      <c r="J4908" t="s">
        <v>21</v>
      </c>
      <c r="K4908">
        <v>0</v>
      </c>
      <c r="M4908">
        <v>1368</v>
      </c>
    </row>
    <row r="4909" spans="1:13">
      <c r="A4909">
        <v>4903</v>
      </c>
      <c r="B4909">
        <v>101559</v>
      </c>
      <c r="C4909" t="s">
        <v>10415</v>
      </c>
      <c r="D4909" t="s">
        <v>105</v>
      </c>
      <c r="E4909" t="s">
        <v>10416</v>
      </c>
      <c r="F4909" t="str">
        <f>"00367796"</f>
        <v>00367796</v>
      </c>
      <c r="G4909" t="s">
        <v>488</v>
      </c>
      <c r="H4909" t="s">
        <v>20</v>
      </c>
      <c r="I4909">
        <v>1482</v>
      </c>
      <c r="J4909" t="s">
        <v>21</v>
      </c>
      <c r="K4909">
        <v>0</v>
      </c>
      <c r="L4909" t="s">
        <v>88</v>
      </c>
      <c r="M4909">
        <v>725</v>
      </c>
    </row>
    <row r="4910" spans="1:13">
      <c r="A4910">
        <v>4904</v>
      </c>
      <c r="B4910">
        <v>88080</v>
      </c>
      <c r="C4910" t="s">
        <v>10417</v>
      </c>
      <c r="D4910" t="s">
        <v>76</v>
      </c>
      <c r="E4910" t="s">
        <v>10418</v>
      </c>
      <c r="F4910" t="str">
        <f>"00400093"</f>
        <v>00400093</v>
      </c>
      <c r="G4910" t="s">
        <v>2025</v>
      </c>
      <c r="H4910" t="s">
        <v>20</v>
      </c>
      <c r="I4910">
        <v>1570</v>
      </c>
      <c r="J4910" t="s">
        <v>21</v>
      </c>
      <c r="K4910">
        <v>6</v>
      </c>
      <c r="L4910" t="s">
        <v>83</v>
      </c>
      <c r="M4910">
        <v>1388</v>
      </c>
    </row>
    <row r="4911" spans="1:13">
      <c r="A4911">
        <v>4905</v>
      </c>
      <c r="B4911">
        <v>57675</v>
      </c>
      <c r="C4911" t="s">
        <v>10419</v>
      </c>
      <c r="D4911" t="s">
        <v>102</v>
      </c>
      <c r="E4911" t="s">
        <v>10420</v>
      </c>
      <c r="F4911" t="str">
        <f>"201510001132"</f>
        <v>201510001132</v>
      </c>
      <c r="G4911" t="s">
        <v>245</v>
      </c>
      <c r="H4911" t="s">
        <v>20</v>
      </c>
      <c r="I4911">
        <v>1406</v>
      </c>
      <c r="J4911" t="s">
        <v>21</v>
      </c>
      <c r="K4911">
        <v>0</v>
      </c>
      <c r="M4911">
        <v>1438</v>
      </c>
    </row>
    <row r="4912" spans="1:13">
      <c r="A4912">
        <v>4906</v>
      </c>
      <c r="B4912">
        <v>69009</v>
      </c>
      <c r="C4912" t="s">
        <v>10421</v>
      </c>
      <c r="D4912" t="s">
        <v>90</v>
      </c>
      <c r="E4912" t="s">
        <v>10422</v>
      </c>
      <c r="F4912" t="str">
        <f>"201201000123"</f>
        <v>201201000123</v>
      </c>
      <c r="G4912" t="s">
        <v>1155</v>
      </c>
      <c r="H4912" t="s">
        <v>20</v>
      </c>
      <c r="I4912">
        <v>1480</v>
      </c>
      <c r="J4912" t="s">
        <v>21</v>
      </c>
      <c r="K4912">
        <v>0</v>
      </c>
      <c r="L4912" t="s">
        <v>88</v>
      </c>
      <c r="M4912">
        <v>1000</v>
      </c>
    </row>
    <row r="4913" spans="1:13">
      <c r="A4913">
        <v>4907</v>
      </c>
      <c r="B4913">
        <v>77557</v>
      </c>
      <c r="C4913" t="s">
        <v>10423</v>
      </c>
      <c r="D4913" t="s">
        <v>153</v>
      </c>
      <c r="E4913" t="s">
        <v>10424</v>
      </c>
      <c r="F4913" t="str">
        <f>"00407179"</f>
        <v>00407179</v>
      </c>
      <c r="G4913" t="s">
        <v>7326</v>
      </c>
      <c r="H4913" t="s">
        <v>137</v>
      </c>
      <c r="I4913">
        <v>1613</v>
      </c>
      <c r="J4913" t="s">
        <v>21</v>
      </c>
      <c r="K4913">
        <v>6</v>
      </c>
      <c r="L4913" t="s">
        <v>35</v>
      </c>
      <c r="M4913">
        <v>985</v>
      </c>
    </row>
    <row r="4914" spans="1:13">
      <c r="A4914">
        <v>4908</v>
      </c>
      <c r="B4914">
        <v>51276</v>
      </c>
      <c r="C4914" t="s">
        <v>10425</v>
      </c>
      <c r="D4914" t="s">
        <v>90</v>
      </c>
      <c r="E4914" t="s">
        <v>10426</v>
      </c>
      <c r="F4914" t="str">
        <f>"00369531"</f>
        <v>00369531</v>
      </c>
      <c r="G4914" t="s">
        <v>170</v>
      </c>
      <c r="H4914" t="s">
        <v>20</v>
      </c>
      <c r="I4914">
        <v>1412</v>
      </c>
      <c r="J4914" t="s">
        <v>21</v>
      </c>
      <c r="K4914">
        <v>0</v>
      </c>
      <c r="L4914" t="s">
        <v>35</v>
      </c>
      <c r="M4914">
        <v>886</v>
      </c>
    </row>
    <row r="4915" spans="1:13">
      <c r="A4915">
        <v>4909</v>
      </c>
      <c r="B4915">
        <v>50591</v>
      </c>
      <c r="C4915" t="s">
        <v>10427</v>
      </c>
      <c r="D4915" t="s">
        <v>76</v>
      </c>
      <c r="E4915" t="s">
        <v>10428</v>
      </c>
      <c r="F4915" t="str">
        <f>"00226642"</f>
        <v>00226642</v>
      </c>
      <c r="G4915" t="s">
        <v>100</v>
      </c>
      <c r="H4915" t="s">
        <v>20</v>
      </c>
      <c r="I4915">
        <v>1468</v>
      </c>
      <c r="J4915" t="s">
        <v>21</v>
      </c>
      <c r="K4915">
        <v>0</v>
      </c>
      <c r="M4915">
        <v>1538</v>
      </c>
    </row>
    <row r="4916" spans="1:13">
      <c r="A4916">
        <v>4910</v>
      </c>
      <c r="B4916">
        <v>114583</v>
      </c>
      <c r="C4916" t="s">
        <v>10429</v>
      </c>
      <c r="D4916" t="s">
        <v>10430</v>
      </c>
      <c r="E4916" t="s">
        <v>10431</v>
      </c>
      <c r="F4916" t="str">
        <f>"00418470"</f>
        <v>00418470</v>
      </c>
      <c r="G4916" t="s">
        <v>107</v>
      </c>
      <c r="H4916" t="s">
        <v>20</v>
      </c>
      <c r="I4916">
        <v>1472</v>
      </c>
      <c r="J4916" t="s">
        <v>21</v>
      </c>
      <c r="K4916">
        <v>0</v>
      </c>
      <c r="L4916" t="s">
        <v>35</v>
      </c>
      <c r="M4916">
        <v>1321</v>
      </c>
    </row>
    <row r="4917" spans="1:13">
      <c r="A4917">
        <v>4911</v>
      </c>
      <c r="B4917">
        <v>61929</v>
      </c>
      <c r="C4917" t="s">
        <v>10432</v>
      </c>
      <c r="D4917" t="s">
        <v>598</v>
      </c>
      <c r="E4917" t="s">
        <v>10433</v>
      </c>
      <c r="F4917" t="str">
        <f>"00192698"</f>
        <v>00192698</v>
      </c>
      <c r="G4917" t="s">
        <v>325</v>
      </c>
      <c r="H4917" t="s">
        <v>326</v>
      </c>
      <c r="I4917">
        <v>1592</v>
      </c>
      <c r="J4917" t="s">
        <v>21</v>
      </c>
      <c r="K4917">
        <v>0</v>
      </c>
      <c r="L4917" t="s">
        <v>35</v>
      </c>
      <c r="M4917">
        <v>1100</v>
      </c>
    </row>
    <row r="4918" spans="1:13">
      <c r="A4918">
        <v>4912</v>
      </c>
      <c r="B4918">
        <v>84058</v>
      </c>
      <c r="C4918" t="s">
        <v>10434</v>
      </c>
      <c r="D4918" t="s">
        <v>566</v>
      </c>
      <c r="E4918" t="s">
        <v>10435</v>
      </c>
      <c r="F4918" t="str">
        <f>"00380385"</f>
        <v>00380385</v>
      </c>
      <c r="G4918" t="s">
        <v>245</v>
      </c>
      <c r="H4918" t="s">
        <v>20</v>
      </c>
      <c r="I4918">
        <v>1406</v>
      </c>
      <c r="J4918" t="s">
        <v>21</v>
      </c>
      <c r="K4918">
        <v>0</v>
      </c>
      <c r="L4918" t="s">
        <v>35</v>
      </c>
      <c r="M4918">
        <v>935</v>
      </c>
    </row>
    <row r="4919" spans="1:13">
      <c r="A4919">
        <v>4913</v>
      </c>
      <c r="B4919">
        <v>59556</v>
      </c>
      <c r="C4919" t="s">
        <v>10436</v>
      </c>
      <c r="D4919" t="s">
        <v>10437</v>
      </c>
      <c r="E4919" t="s">
        <v>10438</v>
      </c>
      <c r="F4919" t="str">
        <f>"00272941"</f>
        <v>00272941</v>
      </c>
      <c r="G4919" t="s">
        <v>488</v>
      </c>
      <c r="H4919" t="s">
        <v>20</v>
      </c>
      <c r="I4919">
        <v>1482</v>
      </c>
      <c r="J4919" t="s">
        <v>21</v>
      </c>
      <c r="K4919">
        <v>0</v>
      </c>
      <c r="L4919" t="s">
        <v>35</v>
      </c>
      <c r="M4919">
        <v>956</v>
      </c>
    </row>
    <row r="4920" spans="1:13">
      <c r="A4920">
        <v>4914</v>
      </c>
      <c r="B4920">
        <v>56798</v>
      </c>
      <c r="C4920" t="s">
        <v>10439</v>
      </c>
      <c r="D4920" t="s">
        <v>1001</v>
      </c>
      <c r="E4920" t="s">
        <v>10440</v>
      </c>
      <c r="F4920" t="str">
        <f>"201406015321"</f>
        <v>201406015321</v>
      </c>
      <c r="G4920" t="s">
        <v>371</v>
      </c>
      <c r="H4920" t="s">
        <v>20</v>
      </c>
      <c r="I4920">
        <v>1526</v>
      </c>
      <c r="J4920" t="s">
        <v>21</v>
      </c>
      <c r="K4920">
        <v>6</v>
      </c>
      <c r="L4920" t="s">
        <v>35</v>
      </c>
      <c r="M4920">
        <v>460</v>
      </c>
    </row>
    <row r="4921" spans="1:13">
      <c r="A4921">
        <v>4915</v>
      </c>
      <c r="B4921">
        <v>47398</v>
      </c>
      <c r="C4921" t="s">
        <v>10441</v>
      </c>
      <c r="D4921" t="s">
        <v>121</v>
      </c>
      <c r="E4921" t="s">
        <v>10442</v>
      </c>
      <c r="F4921" t="str">
        <f>"00003428"</f>
        <v>00003428</v>
      </c>
      <c r="G4921" t="s">
        <v>721</v>
      </c>
      <c r="H4921" t="s">
        <v>20</v>
      </c>
      <c r="I4921">
        <v>1575</v>
      </c>
      <c r="J4921" t="s">
        <v>21</v>
      </c>
      <c r="K4921">
        <v>0</v>
      </c>
      <c r="M4921">
        <v>1363</v>
      </c>
    </row>
    <row r="4922" spans="1:13">
      <c r="A4922">
        <v>4916</v>
      </c>
      <c r="B4922">
        <v>114530</v>
      </c>
      <c r="C4922" t="s">
        <v>10443</v>
      </c>
      <c r="D4922" t="s">
        <v>563</v>
      </c>
      <c r="E4922" t="s">
        <v>10444</v>
      </c>
      <c r="F4922" t="str">
        <f>"201411000548"</f>
        <v>201411000548</v>
      </c>
      <c r="G4922" t="s">
        <v>4452</v>
      </c>
      <c r="H4922" t="s">
        <v>274</v>
      </c>
      <c r="I4922">
        <v>1393</v>
      </c>
      <c r="J4922" t="s">
        <v>21</v>
      </c>
      <c r="K4922">
        <v>0</v>
      </c>
      <c r="L4922" t="s">
        <v>35</v>
      </c>
      <c r="M4922">
        <v>1108</v>
      </c>
    </row>
    <row r="4923" spans="1:13">
      <c r="A4923">
        <v>4917</v>
      </c>
      <c r="B4923">
        <v>91744</v>
      </c>
      <c r="C4923" t="s">
        <v>10445</v>
      </c>
      <c r="D4923" t="s">
        <v>98</v>
      </c>
      <c r="E4923" t="s">
        <v>10446</v>
      </c>
      <c r="F4923" t="str">
        <f>"00390431"</f>
        <v>00390431</v>
      </c>
      <c r="G4923" t="s">
        <v>883</v>
      </c>
      <c r="H4923" t="s">
        <v>270</v>
      </c>
      <c r="I4923">
        <v>1585</v>
      </c>
      <c r="J4923" t="s">
        <v>21</v>
      </c>
      <c r="K4923">
        <v>0</v>
      </c>
      <c r="L4923" t="s">
        <v>35</v>
      </c>
      <c r="M4923">
        <v>957</v>
      </c>
    </row>
    <row r="4924" spans="1:13">
      <c r="A4924">
        <v>4918</v>
      </c>
      <c r="B4924">
        <v>87311</v>
      </c>
      <c r="C4924" t="s">
        <v>10447</v>
      </c>
      <c r="D4924" t="s">
        <v>243</v>
      </c>
      <c r="E4924" t="s">
        <v>10448</v>
      </c>
      <c r="F4924" t="str">
        <f>"00102299"</f>
        <v>00102299</v>
      </c>
      <c r="G4924" t="s">
        <v>1321</v>
      </c>
      <c r="H4924" t="s">
        <v>234</v>
      </c>
      <c r="I4924">
        <v>1330</v>
      </c>
      <c r="J4924" t="s">
        <v>21</v>
      </c>
      <c r="K4924">
        <v>0</v>
      </c>
      <c r="L4924" t="s">
        <v>35</v>
      </c>
      <c r="M4924">
        <v>1058</v>
      </c>
    </row>
    <row r="4925" spans="1:13">
      <c r="A4925">
        <v>4919</v>
      </c>
      <c r="B4925">
        <v>82862</v>
      </c>
      <c r="C4925" t="s">
        <v>10449</v>
      </c>
      <c r="D4925" t="s">
        <v>180</v>
      </c>
      <c r="E4925" t="s">
        <v>10450</v>
      </c>
      <c r="F4925" t="str">
        <f>"00375034"</f>
        <v>00375034</v>
      </c>
      <c r="G4925" t="s">
        <v>178</v>
      </c>
      <c r="H4925" t="s">
        <v>20</v>
      </c>
      <c r="I4925">
        <v>1519</v>
      </c>
      <c r="J4925" t="s">
        <v>21</v>
      </c>
      <c r="K4925">
        <v>0</v>
      </c>
      <c r="L4925" t="s">
        <v>35</v>
      </c>
      <c r="M4925">
        <v>1074</v>
      </c>
    </row>
    <row r="4926" spans="1:13">
      <c r="A4926">
        <v>4920</v>
      </c>
      <c r="B4926">
        <v>91659</v>
      </c>
      <c r="C4926" t="s">
        <v>10451</v>
      </c>
      <c r="D4926" t="s">
        <v>180</v>
      </c>
      <c r="E4926" t="s">
        <v>10452</v>
      </c>
      <c r="F4926" t="str">
        <f>"00331928"</f>
        <v>00331928</v>
      </c>
      <c r="G4926" t="s">
        <v>341</v>
      </c>
      <c r="H4926" t="s">
        <v>1296</v>
      </c>
      <c r="I4926">
        <v>1639</v>
      </c>
      <c r="J4926" t="s">
        <v>21</v>
      </c>
      <c r="K4926">
        <v>6</v>
      </c>
      <c r="M4926">
        <v>1248</v>
      </c>
    </row>
    <row r="4927" spans="1:13">
      <c r="A4927">
        <v>4921</v>
      </c>
      <c r="B4927">
        <v>80523</v>
      </c>
      <c r="C4927" t="s">
        <v>10453</v>
      </c>
      <c r="D4927" t="s">
        <v>80</v>
      </c>
      <c r="E4927" t="s">
        <v>10454</v>
      </c>
      <c r="F4927" t="str">
        <f>"00398116"</f>
        <v>00398116</v>
      </c>
      <c r="G4927" t="s">
        <v>371</v>
      </c>
      <c r="H4927" t="s">
        <v>20</v>
      </c>
      <c r="I4927">
        <v>1526</v>
      </c>
      <c r="J4927" t="s">
        <v>21</v>
      </c>
      <c r="K4927">
        <v>6</v>
      </c>
      <c r="M4927">
        <v>1128</v>
      </c>
    </row>
    <row r="4928" spans="1:13">
      <c r="A4928">
        <v>4922</v>
      </c>
      <c r="B4928">
        <v>111276</v>
      </c>
      <c r="C4928" t="s">
        <v>10455</v>
      </c>
      <c r="D4928" t="s">
        <v>76</v>
      </c>
      <c r="E4928" t="s">
        <v>10456</v>
      </c>
      <c r="F4928" t="str">
        <f>"00411560"</f>
        <v>00411560</v>
      </c>
      <c r="G4928" t="s">
        <v>47</v>
      </c>
      <c r="H4928" t="s">
        <v>48</v>
      </c>
      <c r="I4928">
        <v>1623</v>
      </c>
      <c r="J4928" t="s">
        <v>21</v>
      </c>
      <c r="K4928">
        <v>0</v>
      </c>
      <c r="M4928">
        <v>1348</v>
      </c>
    </row>
    <row r="4929" spans="1:13">
      <c r="A4929">
        <v>4923</v>
      </c>
      <c r="B4929">
        <v>115287</v>
      </c>
      <c r="C4929" t="s">
        <v>10457</v>
      </c>
      <c r="D4929" t="s">
        <v>563</v>
      </c>
      <c r="E4929" t="s">
        <v>10458</v>
      </c>
      <c r="F4929" t="str">
        <f>"00318161"</f>
        <v>00318161</v>
      </c>
      <c r="G4929" t="s">
        <v>2440</v>
      </c>
      <c r="H4929" t="s">
        <v>20</v>
      </c>
      <c r="I4929">
        <v>1567</v>
      </c>
      <c r="J4929" t="s">
        <v>21</v>
      </c>
      <c r="K4929">
        <v>0</v>
      </c>
      <c r="L4929" t="s">
        <v>59</v>
      </c>
      <c r="M4929">
        <v>1028</v>
      </c>
    </row>
    <row r="4930" spans="1:13">
      <c r="A4930">
        <v>4924</v>
      </c>
      <c r="B4930">
        <v>66717</v>
      </c>
      <c r="C4930" t="s">
        <v>10459</v>
      </c>
      <c r="D4930" t="s">
        <v>213</v>
      </c>
      <c r="E4930" t="s">
        <v>10460</v>
      </c>
      <c r="F4930" t="str">
        <f>"00396691"</f>
        <v>00396691</v>
      </c>
      <c r="G4930" t="s">
        <v>3854</v>
      </c>
      <c r="H4930" t="s">
        <v>308</v>
      </c>
      <c r="I4930">
        <v>1591</v>
      </c>
      <c r="J4930" t="s">
        <v>21</v>
      </c>
      <c r="K4930">
        <v>0</v>
      </c>
      <c r="L4930" t="s">
        <v>59</v>
      </c>
      <c r="M4930">
        <v>788</v>
      </c>
    </row>
    <row r="4931" spans="1:13">
      <c r="A4931">
        <v>4925</v>
      </c>
      <c r="B4931">
        <v>57592</v>
      </c>
      <c r="C4931" t="s">
        <v>10461</v>
      </c>
      <c r="D4931" t="s">
        <v>80</v>
      </c>
      <c r="E4931" t="s">
        <v>10462</v>
      </c>
      <c r="F4931" t="str">
        <f>"201410011479"</f>
        <v>201410011479</v>
      </c>
      <c r="G4931" t="s">
        <v>38</v>
      </c>
      <c r="H4931" t="s">
        <v>39</v>
      </c>
      <c r="I4931">
        <v>1634</v>
      </c>
      <c r="J4931" t="s">
        <v>21</v>
      </c>
      <c r="K4931">
        <v>6</v>
      </c>
      <c r="L4931" t="s">
        <v>59</v>
      </c>
      <c r="M4931">
        <v>555</v>
      </c>
    </row>
    <row r="4932" spans="1:13">
      <c r="A4932">
        <v>4926</v>
      </c>
      <c r="B4932">
        <v>80567</v>
      </c>
      <c r="C4932" t="s">
        <v>10463</v>
      </c>
      <c r="D4932" t="s">
        <v>700</v>
      </c>
      <c r="E4932" t="s">
        <v>10464</v>
      </c>
      <c r="F4932" t="str">
        <f>"00399616"</f>
        <v>00399616</v>
      </c>
      <c r="G4932" t="s">
        <v>107</v>
      </c>
      <c r="H4932" t="s">
        <v>20</v>
      </c>
      <c r="I4932">
        <v>1472</v>
      </c>
      <c r="J4932" t="s">
        <v>21</v>
      </c>
      <c r="K4932">
        <v>0</v>
      </c>
      <c r="L4932" t="s">
        <v>35</v>
      </c>
      <c r="M4932">
        <v>1108</v>
      </c>
    </row>
    <row r="4933" spans="1:13">
      <c r="A4933">
        <v>4927</v>
      </c>
      <c r="B4933">
        <v>93615</v>
      </c>
      <c r="C4933" t="s">
        <v>10465</v>
      </c>
      <c r="D4933" t="s">
        <v>180</v>
      </c>
      <c r="E4933" t="s">
        <v>10466</v>
      </c>
      <c r="F4933" t="str">
        <f>"00396076"</f>
        <v>00396076</v>
      </c>
      <c r="G4933" t="s">
        <v>8400</v>
      </c>
      <c r="H4933" t="s">
        <v>137</v>
      </c>
      <c r="I4933">
        <v>1604</v>
      </c>
      <c r="J4933" t="s">
        <v>21</v>
      </c>
      <c r="K4933">
        <v>0</v>
      </c>
      <c r="L4933" t="s">
        <v>35</v>
      </c>
      <c r="M4933">
        <v>858</v>
      </c>
    </row>
    <row r="4934" spans="1:13">
      <c r="A4934">
        <v>4928</v>
      </c>
      <c r="B4934">
        <v>57351</v>
      </c>
      <c r="C4934" t="s">
        <v>10467</v>
      </c>
      <c r="D4934" t="s">
        <v>80</v>
      </c>
      <c r="E4934" t="s">
        <v>10468</v>
      </c>
      <c r="F4934" t="str">
        <f>"00255922"</f>
        <v>00255922</v>
      </c>
      <c r="G4934" t="s">
        <v>173</v>
      </c>
      <c r="H4934" t="s">
        <v>20</v>
      </c>
      <c r="I4934">
        <v>1420</v>
      </c>
      <c r="J4934" t="s">
        <v>21</v>
      </c>
      <c r="K4934">
        <v>7</v>
      </c>
      <c r="M4934">
        <v>1488</v>
      </c>
    </row>
    <row r="4935" spans="1:13">
      <c r="A4935">
        <v>4929</v>
      </c>
      <c r="B4935">
        <v>47979</v>
      </c>
      <c r="C4935" t="s">
        <v>10469</v>
      </c>
      <c r="D4935" t="s">
        <v>243</v>
      </c>
      <c r="E4935" t="s">
        <v>10470</v>
      </c>
      <c r="F4935" t="str">
        <f>"00356656"</f>
        <v>00356656</v>
      </c>
      <c r="G4935" t="s">
        <v>24</v>
      </c>
      <c r="H4935" t="s">
        <v>20</v>
      </c>
      <c r="I4935">
        <v>1577</v>
      </c>
      <c r="J4935" t="s">
        <v>21</v>
      </c>
      <c r="K4935">
        <v>0</v>
      </c>
      <c r="L4935" t="s">
        <v>35</v>
      </c>
      <c r="M4935">
        <v>858</v>
      </c>
    </row>
    <row r="4936" spans="1:13">
      <c r="A4936">
        <v>4930</v>
      </c>
      <c r="B4936">
        <v>57249</v>
      </c>
      <c r="C4936" t="s">
        <v>10471</v>
      </c>
      <c r="D4936" t="s">
        <v>243</v>
      </c>
      <c r="E4936" t="s">
        <v>10472</v>
      </c>
      <c r="F4936" t="str">
        <f>"00022784"</f>
        <v>00022784</v>
      </c>
      <c r="G4936" t="s">
        <v>38</v>
      </c>
      <c r="H4936" t="s">
        <v>39</v>
      </c>
      <c r="I4936">
        <v>1634</v>
      </c>
      <c r="J4936" t="s">
        <v>21</v>
      </c>
      <c r="K4936">
        <v>6</v>
      </c>
      <c r="M4936">
        <v>1528</v>
      </c>
    </row>
    <row r="4937" spans="1:13">
      <c r="A4937">
        <v>4931</v>
      </c>
      <c r="B4937">
        <v>47620</v>
      </c>
      <c r="C4937" t="s">
        <v>10473</v>
      </c>
      <c r="D4937" t="s">
        <v>243</v>
      </c>
      <c r="E4937" t="s">
        <v>10474</v>
      </c>
      <c r="F4937" t="str">
        <f>"201511009602"</f>
        <v>201511009602</v>
      </c>
      <c r="G4937" t="s">
        <v>892</v>
      </c>
      <c r="H4937" t="s">
        <v>20</v>
      </c>
      <c r="I4937">
        <v>1410</v>
      </c>
      <c r="J4937" t="s">
        <v>21</v>
      </c>
      <c r="K4937">
        <v>0</v>
      </c>
      <c r="L4937" t="s">
        <v>88</v>
      </c>
      <c r="M4937">
        <v>850</v>
      </c>
    </row>
    <row r="4938" spans="1:13">
      <c r="A4938">
        <v>4932</v>
      </c>
      <c r="B4938">
        <v>90548</v>
      </c>
      <c r="C4938" t="s">
        <v>10475</v>
      </c>
      <c r="D4938" t="s">
        <v>102</v>
      </c>
      <c r="E4938" t="s">
        <v>10476</v>
      </c>
      <c r="F4938" t="str">
        <f>"00371286"</f>
        <v>00371286</v>
      </c>
      <c r="G4938" t="s">
        <v>215</v>
      </c>
      <c r="H4938" t="s">
        <v>216</v>
      </c>
      <c r="I4938">
        <v>1708</v>
      </c>
      <c r="J4938" t="s">
        <v>21</v>
      </c>
      <c r="K4938">
        <v>6</v>
      </c>
      <c r="L4938" t="s">
        <v>2884</v>
      </c>
      <c r="M4938">
        <v>800</v>
      </c>
    </row>
    <row r="4939" spans="1:13">
      <c r="A4939">
        <v>4933</v>
      </c>
      <c r="B4939">
        <v>98871</v>
      </c>
      <c r="C4939" t="s">
        <v>10477</v>
      </c>
      <c r="D4939" t="s">
        <v>205</v>
      </c>
      <c r="E4939" t="s">
        <v>10478</v>
      </c>
      <c r="F4939" t="str">
        <f>"00390615"</f>
        <v>00390615</v>
      </c>
      <c r="G4939" t="s">
        <v>215</v>
      </c>
      <c r="H4939" t="s">
        <v>216</v>
      </c>
      <c r="I4939">
        <v>1708</v>
      </c>
      <c r="J4939" t="s">
        <v>21</v>
      </c>
      <c r="K4939">
        <v>6</v>
      </c>
      <c r="L4939" t="s">
        <v>83</v>
      </c>
      <c r="M4939">
        <v>1188</v>
      </c>
    </row>
    <row r="4940" spans="1:13">
      <c r="A4940">
        <v>4934</v>
      </c>
      <c r="B4940">
        <v>87623</v>
      </c>
      <c r="C4940" t="s">
        <v>10479</v>
      </c>
      <c r="D4940" t="s">
        <v>105</v>
      </c>
      <c r="E4940" t="s">
        <v>10480</v>
      </c>
      <c r="F4940" t="str">
        <f>"00349668"</f>
        <v>00349668</v>
      </c>
      <c r="G4940" t="s">
        <v>302</v>
      </c>
      <c r="H4940" t="s">
        <v>20</v>
      </c>
      <c r="I4940">
        <v>1494</v>
      </c>
      <c r="J4940" t="s">
        <v>21</v>
      </c>
      <c r="K4940">
        <v>0</v>
      </c>
      <c r="L4940" t="s">
        <v>59</v>
      </c>
      <c r="M4940">
        <v>1162</v>
      </c>
    </row>
    <row r="4941" spans="1:13">
      <c r="A4941">
        <v>4935</v>
      </c>
      <c r="B4941">
        <v>57461</v>
      </c>
      <c r="C4941" t="s">
        <v>10481</v>
      </c>
      <c r="D4941" t="s">
        <v>557</v>
      </c>
      <c r="E4941" t="s">
        <v>10482</v>
      </c>
      <c r="F4941" t="str">
        <f>"00355725"</f>
        <v>00355725</v>
      </c>
      <c r="G4941" t="s">
        <v>67</v>
      </c>
      <c r="H4941" t="s">
        <v>20</v>
      </c>
      <c r="I4941">
        <v>1434</v>
      </c>
      <c r="J4941" t="s">
        <v>21</v>
      </c>
      <c r="K4941">
        <v>0</v>
      </c>
      <c r="L4941" t="s">
        <v>59</v>
      </c>
      <c r="M4941">
        <v>1088</v>
      </c>
    </row>
    <row r="4942" spans="1:13">
      <c r="A4942">
        <v>4936</v>
      </c>
      <c r="B4942">
        <v>51833</v>
      </c>
      <c r="C4942" t="s">
        <v>10483</v>
      </c>
      <c r="D4942" t="s">
        <v>76</v>
      </c>
      <c r="E4942" t="s">
        <v>10484</v>
      </c>
      <c r="F4942" t="str">
        <f>"00273747"</f>
        <v>00273747</v>
      </c>
      <c r="G4942" t="s">
        <v>1742</v>
      </c>
      <c r="H4942" t="s">
        <v>241</v>
      </c>
      <c r="I4942">
        <v>1365</v>
      </c>
      <c r="J4942" t="s">
        <v>21</v>
      </c>
      <c r="K4942">
        <v>0</v>
      </c>
      <c r="L4942" t="s">
        <v>35</v>
      </c>
      <c r="M4942">
        <v>1100</v>
      </c>
    </row>
    <row r="4943" spans="1:13">
      <c r="A4943">
        <v>4937</v>
      </c>
      <c r="B4943">
        <v>48270</v>
      </c>
      <c r="C4943" t="s">
        <v>10485</v>
      </c>
      <c r="D4943" t="s">
        <v>10486</v>
      </c>
      <c r="E4943" t="s">
        <v>10487</v>
      </c>
      <c r="F4943" t="str">
        <f>"00148839"</f>
        <v>00148839</v>
      </c>
      <c r="G4943" t="s">
        <v>540</v>
      </c>
      <c r="H4943" t="s">
        <v>20</v>
      </c>
      <c r="I4943">
        <v>1435</v>
      </c>
      <c r="J4943" t="s">
        <v>21</v>
      </c>
      <c r="K4943">
        <v>0</v>
      </c>
      <c r="L4943" t="s">
        <v>35</v>
      </c>
      <c r="M4943">
        <v>950</v>
      </c>
    </row>
    <row r="4944" spans="1:13">
      <c r="A4944">
        <v>4938</v>
      </c>
      <c r="B4944">
        <v>108101</v>
      </c>
      <c r="C4944" t="s">
        <v>10488</v>
      </c>
      <c r="D4944" t="s">
        <v>121</v>
      </c>
      <c r="E4944" t="s">
        <v>10489</v>
      </c>
      <c r="F4944" t="str">
        <f>"00258373"</f>
        <v>00258373</v>
      </c>
      <c r="G4944" t="s">
        <v>70</v>
      </c>
      <c r="H4944" t="s">
        <v>71</v>
      </c>
      <c r="I4944">
        <v>1702</v>
      </c>
      <c r="J4944" t="s">
        <v>21</v>
      </c>
      <c r="K4944">
        <v>0</v>
      </c>
      <c r="M4944">
        <v>1427</v>
      </c>
    </row>
    <row r="4945" spans="1:13">
      <c r="A4945">
        <v>4939</v>
      </c>
      <c r="B4945">
        <v>113272</v>
      </c>
      <c r="C4945" t="s">
        <v>10490</v>
      </c>
      <c r="D4945" t="s">
        <v>105</v>
      </c>
      <c r="E4945" t="s">
        <v>10491</v>
      </c>
      <c r="F4945" t="str">
        <f>"00420694"</f>
        <v>00420694</v>
      </c>
      <c r="G4945" t="s">
        <v>150</v>
      </c>
      <c r="H4945" t="s">
        <v>151</v>
      </c>
      <c r="I4945">
        <v>1699</v>
      </c>
      <c r="J4945" t="s">
        <v>21</v>
      </c>
      <c r="K4945">
        <v>0</v>
      </c>
      <c r="L4945" t="s">
        <v>35</v>
      </c>
      <c r="M4945">
        <v>900</v>
      </c>
    </row>
    <row r="4946" spans="1:13">
      <c r="A4946">
        <v>4940</v>
      </c>
      <c r="B4946">
        <v>88652</v>
      </c>
      <c r="C4946" t="s">
        <v>10492</v>
      </c>
      <c r="D4946" t="s">
        <v>76</v>
      </c>
      <c r="E4946" t="s">
        <v>10493</v>
      </c>
      <c r="F4946" t="str">
        <f>"00330817"</f>
        <v>00330817</v>
      </c>
      <c r="G4946" t="s">
        <v>709</v>
      </c>
      <c r="H4946" t="s">
        <v>20</v>
      </c>
      <c r="I4946">
        <v>1413</v>
      </c>
      <c r="J4946" t="s">
        <v>21</v>
      </c>
      <c r="K4946">
        <v>0</v>
      </c>
      <c r="L4946" t="s">
        <v>88</v>
      </c>
      <c r="M4946">
        <v>600</v>
      </c>
    </row>
    <row r="4947" spans="1:13">
      <c r="A4947">
        <v>4941</v>
      </c>
      <c r="B4947">
        <v>92060</v>
      </c>
      <c r="C4947" t="s">
        <v>10494</v>
      </c>
      <c r="D4947" t="s">
        <v>10495</v>
      </c>
      <c r="E4947" t="s">
        <v>10496</v>
      </c>
      <c r="F4947" t="str">
        <f>"00404343"</f>
        <v>00404343</v>
      </c>
      <c r="G4947" t="s">
        <v>284</v>
      </c>
      <c r="H4947" t="s">
        <v>270</v>
      </c>
      <c r="I4947">
        <v>1586</v>
      </c>
      <c r="J4947" t="s">
        <v>21</v>
      </c>
      <c r="K4947">
        <v>0</v>
      </c>
      <c r="L4947" t="s">
        <v>35</v>
      </c>
      <c r="M4947">
        <v>908</v>
      </c>
    </row>
    <row r="4948" spans="1:13">
      <c r="A4948">
        <v>4942</v>
      </c>
      <c r="B4948">
        <v>87059</v>
      </c>
      <c r="C4948" t="s">
        <v>10497</v>
      </c>
      <c r="D4948" t="s">
        <v>566</v>
      </c>
      <c r="E4948" t="s">
        <v>10498</v>
      </c>
      <c r="F4948" t="str">
        <f>"201510000746"</f>
        <v>201510000746</v>
      </c>
      <c r="G4948" t="s">
        <v>47</v>
      </c>
      <c r="H4948" t="s">
        <v>48</v>
      </c>
      <c r="I4948">
        <v>1623</v>
      </c>
      <c r="J4948" t="s">
        <v>21</v>
      </c>
      <c r="K4948">
        <v>0</v>
      </c>
      <c r="L4948" t="s">
        <v>35</v>
      </c>
      <c r="M4948">
        <v>908</v>
      </c>
    </row>
    <row r="4949" spans="1:13">
      <c r="A4949">
        <v>4943</v>
      </c>
      <c r="B4949">
        <v>72397</v>
      </c>
      <c r="C4949" t="s">
        <v>10499</v>
      </c>
      <c r="D4949" t="s">
        <v>243</v>
      </c>
      <c r="E4949" t="s">
        <v>10500</v>
      </c>
      <c r="F4949" t="str">
        <f>"00242744"</f>
        <v>00242744</v>
      </c>
      <c r="G4949" t="s">
        <v>583</v>
      </c>
      <c r="H4949" t="s">
        <v>137</v>
      </c>
      <c r="I4949">
        <v>1601</v>
      </c>
      <c r="J4949" t="s">
        <v>21</v>
      </c>
      <c r="K4949">
        <v>0</v>
      </c>
      <c r="L4949" t="s">
        <v>35</v>
      </c>
      <c r="M4949">
        <v>958</v>
      </c>
    </row>
    <row r="4950" spans="1:13">
      <c r="A4950">
        <v>4944</v>
      </c>
      <c r="B4950">
        <v>97154</v>
      </c>
      <c r="C4950" t="s">
        <v>10501</v>
      </c>
      <c r="D4950" t="s">
        <v>243</v>
      </c>
      <c r="E4950" t="s">
        <v>10502</v>
      </c>
      <c r="F4950" t="str">
        <f>"201604001050"</f>
        <v>201604001050</v>
      </c>
      <c r="G4950" t="s">
        <v>19</v>
      </c>
      <c r="H4950" t="s">
        <v>20</v>
      </c>
      <c r="I4950">
        <v>1531</v>
      </c>
      <c r="J4950" t="s">
        <v>21</v>
      </c>
      <c r="K4950">
        <v>0</v>
      </c>
      <c r="M4950">
        <v>1513</v>
      </c>
    </row>
    <row r="4951" spans="1:13">
      <c r="A4951">
        <v>4945</v>
      </c>
      <c r="B4951">
        <v>63750</v>
      </c>
      <c r="C4951" t="s">
        <v>10503</v>
      </c>
      <c r="D4951" t="s">
        <v>105</v>
      </c>
      <c r="E4951" t="s">
        <v>10504</v>
      </c>
      <c r="F4951" t="str">
        <f>"00246983"</f>
        <v>00246983</v>
      </c>
      <c r="G4951" t="s">
        <v>47</v>
      </c>
      <c r="H4951" t="s">
        <v>48</v>
      </c>
      <c r="I4951">
        <v>1623</v>
      </c>
      <c r="J4951" t="s">
        <v>21</v>
      </c>
      <c r="K4951">
        <v>0</v>
      </c>
      <c r="M4951">
        <v>1328</v>
      </c>
    </row>
    <row r="4952" spans="1:13">
      <c r="A4952">
        <v>4946</v>
      </c>
      <c r="B4952">
        <v>110401</v>
      </c>
      <c r="C4952" t="s">
        <v>10505</v>
      </c>
      <c r="D4952" t="s">
        <v>180</v>
      </c>
      <c r="E4952" t="s">
        <v>10506</v>
      </c>
      <c r="F4952" t="str">
        <f>"00313379"</f>
        <v>00313379</v>
      </c>
      <c r="G4952" t="s">
        <v>278</v>
      </c>
      <c r="H4952" t="s">
        <v>20</v>
      </c>
      <c r="I4952">
        <v>1441</v>
      </c>
      <c r="J4952" t="s">
        <v>21</v>
      </c>
      <c r="K4952">
        <v>0</v>
      </c>
      <c r="L4952" t="s">
        <v>83</v>
      </c>
      <c r="M4952">
        <v>1488</v>
      </c>
    </row>
    <row r="4953" spans="1:13">
      <c r="A4953">
        <v>4947</v>
      </c>
      <c r="B4953">
        <v>74986</v>
      </c>
      <c r="C4953" t="s">
        <v>10507</v>
      </c>
      <c r="D4953" t="s">
        <v>391</v>
      </c>
      <c r="E4953" t="s">
        <v>10508</v>
      </c>
      <c r="F4953" t="str">
        <f>"00393736"</f>
        <v>00393736</v>
      </c>
      <c r="G4953" t="s">
        <v>47</v>
      </c>
      <c r="H4953" t="s">
        <v>48</v>
      </c>
      <c r="I4953">
        <v>1623</v>
      </c>
      <c r="J4953" t="s">
        <v>21</v>
      </c>
      <c r="K4953">
        <v>0</v>
      </c>
      <c r="L4953" t="s">
        <v>35</v>
      </c>
      <c r="M4953">
        <v>1086</v>
      </c>
    </row>
    <row r="4954" spans="1:13">
      <c r="A4954">
        <v>4948</v>
      </c>
      <c r="B4954">
        <v>67354</v>
      </c>
      <c r="C4954" t="s">
        <v>10509</v>
      </c>
      <c r="D4954" t="s">
        <v>238</v>
      </c>
      <c r="E4954" t="s">
        <v>10510</v>
      </c>
      <c r="F4954" t="str">
        <f>"00390642"</f>
        <v>00390642</v>
      </c>
      <c r="G4954" t="s">
        <v>561</v>
      </c>
      <c r="H4954" t="s">
        <v>20</v>
      </c>
      <c r="I4954">
        <v>1574</v>
      </c>
      <c r="J4954" t="s">
        <v>21</v>
      </c>
      <c r="K4954">
        <v>0</v>
      </c>
      <c r="L4954" t="s">
        <v>112</v>
      </c>
      <c r="M4954">
        <v>789</v>
      </c>
    </row>
    <row r="4955" spans="1:13">
      <c r="A4955">
        <v>4949</v>
      </c>
      <c r="B4955">
        <v>112107</v>
      </c>
      <c r="C4955" t="s">
        <v>10511</v>
      </c>
      <c r="D4955" t="s">
        <v>238</v>
      </c>
      <c r="E4955" t="s">
        <v>10512</v>
      </c>
      <c r="F4955" t="str">
        <f>"00402295"</f>
        <v>00402295</v>
      </c>
      <c r="G4955" t="s">
        <v>2025</v>
      </c>
      <c r="H4955" t="s">
        <v>20</v>
      </c>
      <c r="I4955">
        <v>1570</v>
      </c>
      <c r="J4955" t="s">
        <v>21</v>
      </c>
      <c r="K4955">
        <v>6</v>
      </c>
      <c r="L4955" t="s">
        <v>88</v>
      </c>
      <c r="M4955">
        <v>708</v>
      </c>
    </row>
    <row r="4956" spans="1:13">
      <c r="A4956">
        <v>4950</v>
      </c>
      <c r="B4956">
        <v>96110</v>
      </c>
      <c r="C4956" t="s">
        <v>10513</v>
      </c>
      <c r="D4956" t="s">
        <v>80</v>
      </c>
      <c r="E4956" t="s">
        <v>10514</v>
      </c>
      <c r="F4956" t="str">
        <f>"00409529"</f>
        <v>00409529</v>
      </c>
      <c r="G4956" t="s">
        <v>3969</v>
      </c>
      <c r="H4956" t="s">
        <v>20</v>
      </c>
      <c r="I4956">
        <v>1517</v>
      </c>
      <c r="J4956" t="s">
        <v>21</v>
      </c>
      <c r="K4956">
        <v>0</v>
      </c>
      <c r="M4956">
        <v>1388</v>
      </c>
    </row>
    <row r="4957" spans="1:13">
      <c r="A4957">
        <v>4951</v>
      </c>
      <c r="B4957">
        <v>74828</v>
      </c>
      <c r="C4957" t="s">
        <v>10515</v>
      </c>
      <c r="D4957" t="s">
        <v>1474</v>
      </c>
      <c r="E4957" t="s">
        <v>10516</v>
      </c>
      <c r="F4957" t="str">
        <f>"00311966"</f>
        <v>00311966</v>
      </c>
      <c r="G4957" t="s">
        <v>352</v>
      </c>
      <c r="H4957" t="s">
        <v>20</v>
      </c>
      <c r="I4957">
        <v>1471</v>
      </c>
      <c r="J4957" t="s">
        <v>21</v>
      </c>
      <c r="K4957">
        <v>0</v>
      </c>
      <c r="L4957" t="s">
        <v>35</v>
      </c>
      <c r="M4957">
        <v>1158</v>
      </c>
    </row>
    <row r="4958" spans="1:13">
      <c r="A4958">
        <v>4952</v>
      </c>
      <c r="B4958">
        <v>83925</v>
      </c>
      <c r="C4958" t="s">
        <v>10517</v>
      </c>
      <c r="D4958" t="s">
        <v>153</v>
      </c>
      <c r="E4958" t="s">
        <v>10518</v>
      </c>
      <c r="F4958" t="str">
        <f>"00400562"</f>
        <v>00400562</v>
      </c>
      <c r="G4958" t="s">
        <v>10274</v>
      </c>
      <c r="H4958" t="s">
        <v>274</v>
      </c>
      <c r="I4958">
        <v>1401</v>
      </c>
      <c r="J4958" t="s">
        <v>21</v>
      </c>
      <c r="K4958">
        <v>0</v>
      </c>
      <c r="L4958" t="s">
        <v>35</v>
      </c>
      <c r="M4958">
        <v>1375</v>
      </c>
    </row>
    <row r="4959" spans="1:13">
      <c r="A4959">
        <v>4953</v>
      </c>
      <c r="B4959">
        <v>72313</v>
      </c>
      <c r="C4959" t="s">
        <v>10519</v>
      </c>
      <c r="D4959" t="s">
        <v>260</v>
      </c>
      <c r="E4959" t="s">
        <v>10520</v>
      </c>
      <c r="F4959" t="str">
        <f>"00280239"</f>
        <v>00280239</v>
      </c>
      <c r="G4959" t="s">
        <v>107</v>
      </c>
      <c r="H4959" t="s">
        <v>20</v>
      </c>
      <c r="I4959">
        <v>1472</v>
      </c>
      <c r="J4959" t="s">
        <v>21</v>
      </c>
      <c r="K4959">
        <v>0</v>
      </c>
      <c r="M4959">
        <v>1472</v>
      </c>
    </row>
    <row r="4960" spans="1:13">
      <c r="A4960">
        <v>4954</v>
      </c>
      <c r="B4960">
        <v>53143</v>
      </c>
      <c r="C4960" t="s">
        <v>10521</v>
      </c>
      <c r="D4960" t="s">
        <v>316</v>
      </c>
      <c r="E4960" t="s">
        <v>10522</v>
      </c>
      <c r="F4960" t="str">
        <f>"201510000574"</f>
        <v>201510000574</v>
      </c>
      <c r="G4960" t="s">
        <v>3121</v>
      </c>
      <c r="H4960" t="s">
        <v>20</v>
      </c>
      <c r="I4960">
        <v>1491</v>
      </c>
      <c r="J4960" t="s">
        <v>21</v>
      </c>
      <c r="K4960">
        <v>0</v>
      </c>
      <c r="L4960" t="s">
        <v>35</v>
      </c>
      <c r="M4960">
        <v>1008</v>
      </c>
    </row>
    <row r="4961" spans="1:13">
      <c r="A4961">
        <v>4955</v>
      </c>
      <c r="B4961">
        <v>51810</v>
      </c>
      <c r="C4961" t="s">
        <v>10523</v>
      </c>
      <c r="D4961" t="s">
        <v>180</v>
      </c>
      <c r="E4961" t="s">
        <v>10524</v>
      </c>
      <c r="F4961" t="str">
        <f>"00029512"</f>
        <v>00029512</v>
      </c>
      <c r="G4961" t="s">
        <v>358</v>
      </c>
      <c r="H4961" t="s">
        <v>20</v>
      </c>
      <c r="I4961">
        <v>1549</v>
      </c>
      <c r="J4961" t="s">
        <v>21</v>
      </c>
      <c r="K4961">
        <v>0</v>
      </c>
      <c r="L4961" t="s">
        <v>35</v>
      </c>
      <c r="M4961">
        <v>1008</v>
      </c>
    </row>
    <row r="4962" spans="1:13">
      <c r="A4962">
        <v>4956</v>
      </c>
      <c r="B4962">
        <v>110302</v>
      </c>
      <c r="C4962" t="s">
        <v>10525</v>
      </c>
      <c r="D4962" t="s">
        <v>180</v>
      </c>
      <c r="E4962" t="s">
        <v>10526</v>
      </c>
      <c r="F4962" t="str">
        <f>"00198772"</f>
        <v>00198772</v>
      </c>
      <c r="G4962" t="s">
        <v>47</v>
      </c>
      <c r="H4962" t="s">
        <v>48</v>
      </c>
      <c r="I4962">
        <v>1623</v>
      </c>
      <c r="J4962" t="s">
        <v>21</v>
      </c>
      <c r="K4962">
        <v>0</v>
      </c>
      <c r="L4962" t="s">
        <v>35</v>
      </c>
      <c r="M4962">
        <v>883</v>
      </c>
    </row>
    <row r="4963" spans="1:13">
      <c r="A4963">
        <v>4957</v>
      </c>
      <c r="B4963">
        <v>46466</v>
      </c>
      <c r="C4963" t="s">
        <v>10527</v>
      </c>
      <c r="D4963" t="s">
        <v>218</v>
      </c>
      <c r="E4963" t="s">
        <v>10528</v>
      </c>
      <c r="F4963" t="str">
        <f>"00246634"</f>
        <v>00246634</v>
      </c>
      <c r="G4963" t="s">
        <v>24</v>
      </c>
      <c r="H4963" t="s">
        <v>20</v>
      </c>
      <c r="I4963">
        <v>1577</v>
      </c>
      <c r="J4963" t="s">
        <v>21</v>
      </c>
      <c r="K4963">
        <v>0</v>
      </c>
      <c r="L4963" t="s">
        <v>83</v>
      </c>
      <c r="M4963">
        <v>1198</v>
      </c>
    </row>
    <row r="4964" spans="1:13">
      <c r="A4964">
        <v>4958</v>
      </c>
      <c r="B4964">
        <v>63087</v>
      </c>
      <c r="C4964" t="s">
        <v>10529</v>
      </c>
      <c r="D4964" t="s">
        <v>209</v>
      </c>
      <c r="E4964" t="s">
        <v>10530</v>
      </c>
      <c r="F4964" t="str">
        <f>"00256316"</f>
        <v>00256316</v>
      </c>
      <c r="G4964" t="s">
        <v>96</v>
      </c>
      <c r="H4964" t="s">
        <v>20</v>
      </c>
      <c r="I4964">
        <v>1474</v>
      </c>
      <c r="J4964" t="s">
        <v>21</v>
      </c>
      <c r="K4964">
        <v>0</v>
      </c>
      <c r="L4964" t="s">
        <v>88</v>
      </c>
      <c r="M4964">
        <v>970</v>
      </c>
    </row>
    <row r="4965" spans="1:13">
      <c r="A4965">
        <v>4959</v>
      </c>
      <c r="B4965">
        <v>102531</v>
      </c>
      <c r="C4965" t="s">
        <v>10531</v>
      </c>
      <c r="D4965" t="s">
        <v>218</v>
      </c>
      <c r="E4965" t="s">
        <v>10532</v>
      </c>
      <c r="F4965" t="str">
        <f>"00359686"</f>
        <v>00359686</v>
      </c>
      <c r="G4965" t="s">
        <v>87</v>
      </c>
      <c r="H4965" t="s">
        <v>1671</v>
      </c>
      <c r="I4965">
        <v>1716</v>
      </c>
      <c r="J4965" t="s">
        <v>21</v>
      </c>
      <c r="K4965">
        <v>0</v>
      </c>
      <c r="L4965" t="s">
        <v>35</v>
      </c>
      <c r="M4965">
        <v>1008</v>
      </c>
    </row>
    <row r="4966" spans="1:13">
      <c r="A4966">
        <v>4960</v>
      </c>
      <c r="B4966">
        <v>68639</v>
      </c>
      <c r="C4966" t="s">
        <v>10533</v>
      </c>
      <c r="D4966" t="s">
        <v>243</v>
      </c>
      <c r="E4966" t="s">
        <v>10534</v>
      </c>
      <c r="F4966" t="str">
        <f>"00385836"</f>
        <v>00385836</v>
      </c>
      <c r="G4966" t="s">
        <v>10535</v>
      </c>
      <c r="H4966" t="s">
        <v>1610</v>
      </c>
      <c r="I4966">
        <v>1305</v>
      </c>
      <c r="J4966" t="s">
        <v>21</v>
      </c>
      <c r="K4966">
        <v>0</v>
      </c>
      <c r="M4966">
        <v>1721</v>
      </c>
    </row>
    <row r="4967" spans="1:13">
      <c r="A4967">
        <v>4961</v>
      </c>
      <c r="B4967">
        <v>109054</v>
      </c>
      <c r="C4967" t="s">
        <v>10536</v>
      </c>
      <c r="D4967" t="s">
        <v>145</v>
      </c>
      <c r="E4967" t="s">
        <v>10537</v>
      </c>
      <c r="F4967" t="str">
        <f>"00420751"</f>
        <v>00420751</v>
      </c>
      <c r="G4967" t="s">
        <v>2440</v>
      </c>
      <c r="H4967" t="s">
        <v>20</v>
      </c>
      <c r="I4967">
        <v>1567</v>
      </c>
      <c r="J4967" t="s">
        <v>21</v>
      </c>
      <c r="K4967">
        <v>0</v>
      </c>
      <c r="M4967">
        <v>1418</v>
      </c>
    </row>
    <row r="4968" spans="1:13">
      <c r="A4968">
        <v>4962</v>
      </c>
      <c r="B4968">
        <v>109232</v>
      </c>
      <c r="C4968" t="s">
        <v>10538</v>
      </c>
      <c r="D4968" t="s">
        <v>76</v>
      </c>
      <c r="E4968" t="s">
        <v>10539</v>
      </c>
      <c r="F4968" t="str">
        <f>"201511025024"</f>
        <v>201511025024</v>
      </c>
      <c r="G4968" t="s">
        <v>125</v>
      </c>
      <c r="H4968" t="s">
        <v>20</v>
      </c>
      <c r="I4968">
        <v>1507</v>
      </c>
      <c r="J4968" t="s">
        <v>21</v>
      </c>
      <c r="K4968">
        <v>0</v>
      </c>
      <c r="L4968" t="s">
        <v>59</v>
      </c>
      <c r="M4968">
        <v>988</v>
      </c>
    </row>
    <row r="4969" spans="1:13">
      <c r="A4969">
        <v>4963</v>
      </c>
      <c r="B4969">
        <v>49652</v>
      </c>
      <c r="C4969" t="s">
        <v>10540</v>
      </c>
      <c r="D4969" t="s">
        <v>80</v>
      </c>
      <c r="E4969" t="s">
        <v>10541</v>
      </c>
      <c r="F4969" t="str">
        <f>"00225985"</f>
        <v>00225985</v>
      </c>
      <c r="G4969" t="s">
        <v>47</v>
      </c>
      <c r="H4969" t="s">
        <v>48</v>
      </c>
      <c r="I4969">
        <v>1623</v>
      </c>
      <c r="J4969" t="s">
        <v>21</v>
      </c>
      <c r="K4969">
        <v>0</v>
      </c>
      <c r="M4969">
        <v>1338</v>
      </c>
    </row>
    <row r="4970" spans="1:13">
      <c r="A4970">
        <v>4964</v>
      </c>
      <c r="B4970">
        <v>96192</v>
      </c>
      <c r="C4970" t="s">
        <v>10542</v>
      </c>
      <c r="D4970" t="s">
        <v>80</v>
      </c>
      <c r="E4970" t="s">
        <v>10543</v>
      </c>
      <c r="F4970" t="str">
        <f>"00407116"</f>
        <v>00407116</v>
      </c>
      <c r="G4970" t="s">
        <v>107</v>
      </c>
      <c r="H4970" t="s">
        <v>20</v>
      </c>
      <c r="I4970">
        <v>1472</v>
      </c>
      <c r="J4970" t="s">
        <v>21</v>
      </c>
      <c r="K4970">
        <v>0</v>
      </c>
      <c r="M4970">
        <v>1388</v>
      </c>
    </row>
    <row r="4971" spans="1:13">
      <c r="A4971">
        <v>4965</v>
      </c>
      <c r="B4971">
        <v>49152</v>
      </c>
      <c r="C4971" t="s">
        <v>10544</v>
      </c>
      <c r="D4971" t="s">
        <v>288</v>
      </c>
      <c r="E4971" t="s">
        <v>10545</v>
      </c>
      <c r="F4971" t="str">
        <f>"00365201"</f>
        <v>00365201</v>
      </c>
      <c r="G4971" t="s">
        <v>341</v>
      </c>
      <c r="H4971" t="s">
        <v>20</v>
      </c>
      <c r="I4971">
        <v>1553</v>
      </c>
      <c r="J4971" t="s">
        <v>21</v>
      </c>
      <c r="K4971">
        <v>6</v>
      </c>
      <c r="L4971" t="s">
        <v>35</v>
      </c>
      <c r="M4971">
        <v>836</v>
      </c>
    </row>
    <row r="4972" spans="1:13">
      <c r="A4972">
        <v>4966</v>
      </c>
      <c r="B4972">
        <v>50730</v>
      </c>
      <c r="C4972" t="s">
        <v>10546</v>
      </c>
      <c r="D4972" t="s">
        <v>700</v>
      </c>
      <c r="E4972" t="s">
        <v>10547</v>
      </c>
      <c r="F4972" t="str">
        <f>"00370189"</f>
        <v>00370189</v>
      </c>
      <c r="G4972" t="s">
        <v>1165</v>
      </c>
      <c r="H4972" t="s">
        <v>20</v>
      </c>
      <c r="I4972">
        <v>1422</v>
      </c>
      <c r="J4972" t="s">
        <v>21</v>
      </c>
      <c r="K4972">
        <v>0</v>
      </c>
      <c r="L4972" t="s">
        <v>88</v>
      </c>
      <c r="M4972">
        <v>853</v>
      </c>
    </row>
    <row r="4973" spans="1:13">
      <c r="A4973">
        <v>4967</v>
      </c>
      <c r="B4973">
        <v>59129</v>
      </c>
      <c r="C4973" t="s">
        <v>10548</v>
      </c>
      <c r="D4973" t="s">
        <v>105</v>
      </c>
      <c r="E4973" t="s">
        <v>10549</v>
      </c>
      <c r="F4973" t="str">
        <f>"00269314"</f>
        <v>00269314</v>
      </c>
      <c r="G4973" t="s">
        <v>883</v>
      </c>
      <c r="H4973" t="s">
        <v>270</v>
      </c>
      <c r="I4973">
        <v>1585</v>
      </c>
      <c r="J4973" t="s">
        <v>21</v>
      </c>
      <c r="K4973">
        <v>0</v>
      </c>
      <c r="L4973" t="s">
        <v>88</v>
      </c>
      <c r="M4973">
        <v>550</v>
      </c>
    </row>
    <row r="4974" spans="1:13">
      <c r="A4974">
        <v>4968</v>
      </c>
      <c r="B4974">
        <v>74779</v>
      </c>
      <c r="C4974" t="s">
        <v>10550</v>
      </c>
      <c r="D4974" t="s">
        <v>76</v>
      </c>
      <c r="E4974" t="s">
        <v>10551</v>
      </c>
      <c r="F4974" t="str">
        <f>"201507003986"</f>
        <v>201507003986</v>
      </c>
      <c r="G4974" t="s">
        <v>380</v>
      </c>
      <c r="H4974" t="s">
        <v>137</v>
      </c>
      <c r="I4974">
        <v>1615</v>
      </c>
      <c r="J4974" t="s">
        <v>21</v>
      </c>
      <c r="K4974">
        <v>0</v>
      </c>
      <c r="M4974">
        <v>1484</v>
      </c>
    </row>
    <row r="4975" spans="1:13">
      <c r="A4975">
        <v>4969</v>
      </c>
      <c r="B4975">
        <v>89095</v>
      </c>
      <c r="C4975" t="s">
        <v>10552</v>
      </c>
      <c r="D4975" t="s">
        <v>76</v>
      </c>
      <c r="E4975" t="s">
        <v>10553</v>
      </c>
      <c r="F4975" t="str">
        <f>"00397865"</f>
        <v>00397865</v>
      </c>
      <c r="G4975" t="s">
        <v>721</v>
      </c>
      <c r="H4975" t="s">
        <v>20</v>
      </c>
      <c r="I4975">
        <v>1575</v>
      </c>
      <c r="J4975" t="s">
        <v>21</v>
      </c>
      <c r="K4975">
        <v>0</v>
      </c>
      <c r="M4975">
        <v>1318</v>
      </c>
    </row>
    <row r="4976" spans="1:13">
      <c r="A4976">
        <v>4970</v>
      </c>
      <c r="B4976">
        <v>99171</v>
      </c>
      <c r="C4976" t="s">
        <v>10554</v>
      </c>
      <c r="D4976" t="s">
        <v>105</v>
      </c>
      <c r="E4976" t="s">
        <v>10555</v>
      </c>
      <c r="F4976" t="str">
        <f>"00026536"</f>
        <v>00026536</v>
      </c>
      <c r="G4976" t="s">
        <v>892</v>
      </c>
      <c r="H4976" t="s">
        <v>20</v>
      </c>
      <c r="I4976">
        <v>1410</v>
      </c>
      <c r="J4976" t="s">
        <v>21</v>
      </c>
      <c r="K4976">
        <v>0</v>
      </c>
      <c r="M4976">
        <v>1358</v>
      </c>
    </row>
    <row r="4977" spans="1:13">
      <c r="A4977">
        <v>4971</v>
      </c>
      <c r="B4977">
        <v>106489</v>
      </c>
      <c r="C4977" t="s">
        <v>10556</v>
      </c>
      <c r="D4977" t="s">
        <v>334</v>
      </c>
      <c r="E4977" t="s">
        <v>10557</v>
      </c>
      <c r="F4977" t="str">
        <f>"00379086"</f>
        <v>00379086</v>
      </c>
      <c r="G4977" t="s">
        <v>38</v>
      </c>
      <c r="H4977" t="s">
        <v>39</v>
      </c>
      <c r="I4977">
        <v>1634</v>
      </c>
      <c r="J4977" t="s">
        <v>21</v>
      </c>
      <c r="K4977">
        <v>6</v>
      </c>
      <c r="M4977">
        <v>1228</v>
      </c>
    </row>
    <row r="4978" spans="1:13">
      <c r="A4978">
        <v>4972</v>
      </c>
      <c r="B4978">
        <v>65170</v>
      </c>
      <c r="C4978" t="s">
        <v>10558</v>
      </c>
      <c r="D4978" t="s">
        <v>105</v>
      </c>
      <c r="E4978" t="s">
        <v>10559</v>
      </c>
      <c r="F4978" t="str">
        <f>"00310493"</f>
        <v>00310493</v>
      </c>
      <c r="G4978" t="s">
        <v>2768</v>
      </c>
      <c r="H4978" t="s">
        <v>20</v>
      </c>
      <c r="I4978">
        <v>1409</v>
      </c>
      <c r="J4978" t="s">
        <v>21</v>
      </c>
      <c r="K4978">
        <v>0</v>
      </c>
      <c r="L4978" t="s">
        <v>35</v>
      </c>
      <c r="M4978">
        <v>983</v>
      </c>
    </row>
    <row r="4979" spans="1:13">
      <c r="A4979">
        <v>4973</v>
      </c>
      <c r="B4979">
        <v>79847</v>
      </c>
      <c r="C4979" t="s">
        <v>10560</v>
      </c>
      <c r="D4979" t="s">
        <v>121</v>
      </c>
      <c r="E4979" t="s">
        <v>10561</v>
      </c>
      <c r="F4979" t="str">
        <f>"00400525"</f>
        <v>00400525</v>
      </c>
      <c r="G4979" t="s">
        <v>4036</v>
      </c>
      <c r="H4979" t="s">
        <v>20</v>
      </c>
      <c r="I4979">
        <v>1442</v>
      </c>
      <c r="J4979" t="s">
        <v>21</v>
      </c>
      <c r="K4979">
        <v>0</v>
      </c>
      <c r="L4979" t="s">
        <v>35</v>
      </c>
      <c r="M4979">
        <v>1108</v>
      </c>
    </row>
    <row r="4980" spans="1:13">
      <c r="A4980">
        <v>4974</v>
      </c>
      <c r="B4980">
        <v>78431</v>
      </c>
      <c r="C4980" t="s">
        <v>10562</v>
      </c>
      <c r="D4980" t="s">
        <v>243</v>
      </c>
      <c r="E4980" t="s">
        <v>10563</v>
      </c>
      <c r="F4980" t="str">
        <f>"00291696"</f>
        <v>00291696</v>
      </c>
      <c r="G4980" t="s">
        <v>107</v>
      </c>
      <c r="H4980" t="s">
        <v>20</v>
      </c>
      <c r="I4980">
        <v>1472</v>
      </c>
      <c r="J4980" t="s">
        <v>21</v>
      </c>
      <c r="K4980">
        <v>0</v>
      </c>
      <c r="L4980" t="s">
        <v>83</v>
      </c>
      <c r="M4980">
        <v>1288</v>
      </c>
    </row>
    <row r="4981" spans="1:13">
      <c r="A4981">
        <v>4975</v>
      </c>
      <c r="B4981">
        <v>52338</v>
      </c>
      <c r="C4981" t="s">
        <v>10564</v>
      </c>
      <c r="D4981" t="s">
        <v>76</v>
      </c>
      <c r="E4981" t="s">
        <v>10565</v>
      </c>
      <c r="F4981" t="str">
        <f>"00249060"</f>
        <v>00249060</v>
      </c>
      <c r="G4981" t="s">
        <v>150</v>
      </c>
      <c r="H4981" t="s">
        <v>151</v>
      </c>
      <c r="I4981">
        <v>1699</v>
      </c>
      <c r="J4981" t="s">
        <v>21</v>
      </c>
      <c r="K4981">
        <v>0</v>
      </c>
      <c r="M4981">
        <v>1328</v>
      </c>
    </row>
    <row r="4982" spans="1:13">
      <c r="A4982">
        <v>4976</v>
      </c>
      <c r="B4982">
        <v>61063</v>
      </c>
      <c r="C4982" t="s">
        <v>10566</v>
      </c>
      <c r="D4982" t="s">
        <v>65</v>
      </c>
      <c r="E4982" t="s">
        <v>10567</v>
      </c>
      <c r="F4982" t="str">
        <f>"00240613"</f>
        <v>00240613</v>
      </c>
      <c r="G4982" t="s">
        <v>371</v>
      </c>
      <c r="H4982" t="s">
        <v>20</v>
      </c>
      <c r="I4982">
        <v>1526</v>
      </c>
      <c r="J4982" t="s">
        <v>21</v>
      </c>
      <c r="K4982">
        <v>6</v>
      </c>
      <c r="M4982">
        <v>1088</v>
      </c>
    </row>
    <row r="4983" spans="1:13">
      <c r="A4983">
        <v>4977</v>
      </c>
      <c r="B4983">
        <v>49300</v>
      </c>
      <c r="C4983" t="s">
        <v>10568</v>
      </c>
      <c r="D4983" t="s">
        <v>65</v>
      </c>
      <c r="E4983" t="s">
        <v>10569</v>
      </c>
      <c r="F4983" t="str">
        <f>"00245047"</f>
        <v>00245047</v>
      </c>
      <c r="G4983" t="s">
        <v>371</v>
      </c>
      <c r="H4983" t="s">
        <v>20</v>
      </c>
      <c r="I4983">
        <v>1526</v>
      </c>
      <c r="J4983" t="s">
        <v>21</v>
      </c>
      <c r="K4983">
        <v>6</v>
      </c>
      <c r="M4983">
        <v>968</v>
      </c>
    </row>
    <row r="4984" spans="1:13">
      <c r="A4984">
        <v>4978</v>
      </c>
      <c r="B4984">
        <v>103684</v>
      </c>
      <c r="C4984" t="s">
        <v>10570</v>
      </c>
      <c r="D4984" t="s">
        <v>153</v>
      </c>
      <c r="E4984" t="s">
        <v>10571</v>
      </c>
      <c r="F4984" t="str">
        <f>"00195626"</f>
        <v>00195626</v>
      </c>
      <c r="G4984" t="s">
        <v>465</v>
      </c>
      <c r="H4984" t="s">
        <v>20</v>
      </c>
      <c r="I4984">
        <v>1534</v>
      </c>
      <c r="J4984" t="s">
        <v>21</v>
      </c>
      <c r="K4984">
        <v>0</v>
      </c>
      <c r="M4984">
        <v>1338</v>
      </c>
    </row>
    <row r="4985" spans="1:13">
      <c r="A4985">
        <v>4979</v>
      </c>
      <c r="B4985">
        <v>60808</v>
      </c>
      <c r="C4985" t="s">
        <v>10572</v>
      </c>
      <c r="D4985" t="s">
        <v>153</v>
      </c>
      <c r="E4985" t="s">
        <v>10573</v>
      </c>
      <c r="F4985" t="str">
        <f>"201205000008"</f>
        <v>201205000008</v>
      </c>
      <c r="G4985" t="s">
        <v>245</v>
      </c>
      <c r="H4985" t="s">
        <v>20</v>
      </c>
      <c r="I4985">
        <v>1406</v>
      </c>
      <c r="J4985" t="s">
        <v>21</v>
      </c>
      <c r="K4985">
        <v>0</v>
      </c>
      <c r="M4985">
        <v>1528</v>
      </c>
    </row>
    <row r="4986" spans="1:13">
      <c r="A4986">
        <v>4980</v>
      </c>
      <c r="B4986">
        <v>103854</v>
      </c>
      <c r="C4986" t="s">
        <v>10574</v>
      </c>
      <c r="D4986" t="s">
        <v>90</v>
      </c>
      <c r="E4986" t="s">
        <v>10575</v>
      </c>
      <c r="F4986" t="str">
        <f>"00405313"</f>
        <v>00405313</v>
      </c>
      <c r="G4986" t="s">
        <v>4757</v>
      </c>
      <c r="H4986" t="s">
        <v>20</v>
      </c>
      <c r="I4986">
        <v>1462</v>
      </c>
      <c r="J4986" t="s">
        <v>21</v>
      </c>
      <c r="K4986">
        <v>0</v>
      </c>
      <c r="M4986">
        <v>1578</v>
      </c>
    </row>
    <row r="4987" spans="1:13">
      <c r="A4987">
        <v>4981</v>
      </c>
      <c r="B4987">
        <v>114008</v>
      </c>
      <c r="C4987" t="s">
        <v>10576</v>
      </c>
      <c r="D4987" t="s">
        <v>80</v>
      </c>
      <c r="E4987" t="s">
        <v>10577</v>
      </c>
      <c r="F4987" t="str">
        <f>"00389291"</f>
        <v>00389291</v>
      </c>
      <c r="G4987" t="s">
        <v>955</v>
      </c>
      <c r="H4987" t="s">
        <v>48</v>
      </c>
      <c r="I4987">
        <v>1630</v>
      </c>
      <c r="J4987" t="s">
        <v>21</v>
      </c>
      <c r="K4987">
        <v>0</v>
      </c>
      <c r="L4987" t="s">
        <v>35</v>
      </c>
      <c r="M4987">
        <v>1183</v>
      </c>
    </row>
    <row r="4988" spans="1:13">
      <c r="A4988">
        <v>4982</v>
      </c>
      <c r="B4988">
        <v>92175</v>
      </c>
      <c r="C4988" t="s">
        <v>10578</v>
      </c>
      <c r="D4988" t="s">
        <v>145</v>
      </c>
      <c r="E4988" t="s">
        <v>10579</v>
      </c>
      <c r="F4988" t="str">
        <f>"00405295"</f>
        <v>00405295</v>
      </c>
      <c r="G4988" t="s">
        <v>47</v>
      </c>
      <c r="H4988" t="s">
        <v>48</v>
      </c>
      <c r="I4988">
        <v>1623</v>
      </c>
      <c r="J4988" t="s">
        <v>21</v>
      </c>
      <c r="K4988">
        <v>0</v>
      </c>
      <c r="L4988" t="s">
        <v>83</v>
      </c>
      <c r="M4988">
        <v>1288</v>
      </c>
    </row>
    <row r="4989" spans="1:13">
      <c r="A4989">
        <v>4983</v>
      </c>
      <c r="B4989">
        <v>52968</v>
      </c>
      <c r="C4989" t="s">
        <v>10580</v>
      </c>
      <c r="D4989" t="s">
        <v>80</v>
      </c>
      <c r="E4989" t="s">
        <v>10581</v>
      </c>
      <c r="F4989" t="str">
        <f>"200805000758"</f>
        <v>200805000758</v>
      </c>
      <c r="G4989" t="s">
        <v>150</v>
      </c>
      <c r="H4989" t="s">
        <v>151</v>
      </c>
      <c r="I4989">
        <v>1699</v>
      </c>
      <c r="J4989" t="s">
        <v>21</v>
      </c>
      <c r="K4989">
        <v>0</v>
      </c>
      <c r="L4989" t="s">
        <v>35</v>
      </c>
      <c r="M4989">
        <v>900</v>
      </c>
    </row>
    <row r="4990" spans="1:13">
      <c r="A4990">
        <v>4984</v>
      </c>
      <c r="B4990">
        <v>98256</v>
      </c>
      <c r="C4990" t="s">
        <v>10582</v>
      </c>
      <c r="D4990" t="s">
        <v>905</v>
      </c>
      <c r="E4990" t="s">
        <v>10583</v>
      </c>
      <c r="F4990" t="str">
        <f>"00376564"</f>
        <v>00376564</v>
      </c>
      <c r="G4990" t="s">
        <v>47</v>
      </c>
      <c r="H4990" t="s">
        <v>48</v>
      </c>
      <c r="I4990">
        <v>1623</v>
      </c>
      <c r="J4990" t="s">
        <v>21</v>
      </c>
      <c r="K4990">
        <v>0</v>
      </c>
      <c r="L4990" t="s">
        <v>35</v>
      </c>
      <c r="M4990">
        <v>908</v>
      </c>
    </row>
    <row r="4991" spans="1:13">
      <c r="A4991">
        <v>4985</v>
      </c>
      <c r="B4991">
        <v>103450</v>
      </c>
      <c r="C4991" t="s">
        <v>10584</v>
      </c>
      <c r="D4991" t="s">
        <v>403</v>
      </c>
      <c r="E4991" t="s">
        <v>10585</v>
      </c>
      <c r="F4991" t="str">
        <f>"201511013748"</f>
        <v>201511013748</v>
      </c>
      <c r="G4991" t="s">
        <v>1695</v>
      </c>
      <c r="H4991" t="s">
        <v>20</v>
      </c>
      <c r="I4991">
        <v>1533</v>
      </c>
      <c r="J4991" t="s">
        <v>21</v>
      </c>
      <c r="K4991">
        <v>0</v>
      </c>
      <c r="M4991">
        <v>1363</v>
      </c>
    </row>
    <row r="4992" spans="1:13">
      <c r="A4992">
        <v>4986</v>
      </c>
      <c r="B4992">
        <v>46005</v>
      </c>
      <c r="C4992" t="s">
        <v>10586</v>
      </c>
      <c r="D4992" t="s">
        <v>4833</v>
      </c>
      <c r="E4992" t="s">
        <v>10587</v>
      </c>
      <c r="F4992" t="str">
        <f>"00342460"</f>
        <v>00342460</v>
      </c>
      <c r="G4992" t="s">
        <v>38</v>
      </c>
      <c r="H4992" t="s">
        <v>39</v>
      </c>
      <c r="I4992">
        <v>1634</v>
      </c>
      <c r="J4992" t="s">
        <v>21</v>
      </c>
      <c r="K4992">
        <v>0</v>
      </c>
      <c r="L4992" t="s">
        <v>2999</v>
      </c>
      <c r="M4992">
        <v>806</v>
      </c>
    </row>
    <row r="4993" spans="1:13">
      <c r="A4993">
        <v>4987</v>
      </c>
      <c r="B4993">
        <v>98184</v>
      </c>
      <c r="C4993" t="s">
        <v>10588</v>
      </c>
      <c r="D4993" t="s">
        <v>153</v>
      </c>
      <c r="E4993" t="s">
        <v>10589</v>
      </c>
      <c r="F4993" t="str">
        <f>"00376650"</f>
        <v>00376650</v>
      </c>
      <c r="G4993" t="s">
        <v>155</v>
      </c>
      <c r="H4993" t="s">
        <v>156</v>
      </c>
      <c r="I4993">
        <v>1342</v>
      </c>
      <c r="J4993" t="s">
        <v>21</v>
      </c>
      <c r="K4993">
        <v>0</v>
      </c>
      <c r="M4993">
        <v>1728</v>
      </c>
    </row>
    <row r="4994" spans="1:13">
      <c r="A4994">
        <v>4988</v>
      </c>
      <c r="B4994">
        <v>46945</v>
      </c>
      <c r="C4994" t="s">
        <v>10590</v>
      </c>
      <c r="D4994" t="s">
        <v>105</v>
      </c>
      <c r="E4994" t="s">
        <v>10591</v>
      </c>
      <c r="F4994" t="str">
        <f>"00323033"</f>
        <v>00323033</v>
      </c>
      <c r="G4994" t="s">
        <v>107</v>
      </c>
      <c r="H4994" t="s">
        <v>20</v>
      </c>
      <c r="I4994">
        <v>1472</v>
      </c>
      <c r="J4994" t="s">
        <v>21</v>
      </c>
      <c r="K4994">
        <v>0</v>
      </c>
      <c r="M4994">
        <v>1628</v>
      </c>
    </row>
    <row r="4995" spans="1:13">
      <c r="A4995">
        <v>4989</v>
      </c>
      <c r="B4995">
        <v>103914</v>
      </c>
      <c r="C4995" t="s">
        <v>10592</v>
      </c>
      <c r="D4995" t="s">
        <v>180</v>
      </c>
      <c r="E4995" t="s">
        <v>10593</v>
      </c>
      <c r="F4995" t="str">
        <f>"00383022"</f>
        <v>00383022</v>
      </c>
      <c r="G4995" t="s">
        <v>47</v>
      </c>
      <c r="H4995" t="s">
        <v>48</v>
      </c>
      <c r="I4995">
        <v>1623</v>
      </c>
      <c r="J4995" t="s">
        <v>21</v>
      </c>
      <c r="K4995">
        <v>0</v>
      </c>
      <c r="L4995" t="s">
        <v>35</v>
      </c>
      <c r="M4995">
        <v>900</v>
      </c>
    </row>
    <row r="4996" spans="1:13">
      <c r="A4996">
        <v>4990</v>
      </c>
      <c r="B4996">
        <v>46417</v>
      </c>
      <c r="C4996" t="s">
        <v>10594</v>
      </c>
      <c r="D4996" t="s">
        <v>655</v>
      </c>
      <c r="E4996" t="s">
        <v>10595</v>
      </c>
      <c r="F4996" t="str">
        <f>"201511008587"</f>
        <v>201511008587</v>
      </c>
      <c r="G4996" t="s">
        <v>125</v>
      </c>
      <c r="H4996" t="s">
        <v>20</v>
      </c>
      <c r="I4996">
        <v>1507</v>
      </c>
      <c r="J4996" t="s">
        <v>21</v>
      </c>
      <c r="K4996">
        <v>0</v>
      </c>
      <c r="L4996" t="s">
        <v>59</v>
      </c>
      <c r="M4996">
        <v>1041</v>
      </c>
    </row>
    <row r="4997" spans="1:13">
      <c r="A4997">
        <v>4991</v>
      </c>
      <c r="B4997">
        <v>53035</v>
      </c>
      <c r="C4997" t="s">
        <v>10596</v>
      </c>
      <c r="D4997" t="s">
        <v>598</v>
      </c>
      <c r="E4997" t="s">
        <v>10597</v>
      </c>
      <c r="F4997" t="str">
        <f>"201511004403"</f>
        <v>201511004403</v>
      </c>
      <c r="G4997" t="s">
        <v>19</v>
      </c>
      <c r="H4997" t="s">
        <v>20</v>
      </c>
      <c r="I4997">
        <v>1531</v>
      </c>
      <c r="J4997" t="s">
        <v>21</v>
      </c>
      <c r="K4997">
        <v>0</v>
      </c>
      <c r="L4997" t="s">
        <v>35</v>
      </c>
      <c r="M4997">
        <v>908</v>
      </c>
    </row>
    <row r="4998" spans="1:13">
      <c r="A4998">
        <v>4992</v>
      </c>
      <c r="B4998">
        <v>76068</v>
      </c>
      <c r="C4998" t="s">
        <v>10598</v>
      </c>
      <c r="D4998" t="s">
        <v>267</v>
      </c>
      <c r="E4998" t="s">
        <v>10599</v>
      </c>
      <c r="F4998" t="str">
        <f>"00374149"</f>
        <v>00374149</v>
      </c>
      <c r="G4998" t="s">
        <v>341</v>
      </c>
      <c r="H4998" t="s">
        <v>20</v>
      </c>
      <c r="I4998">
        <v>1553</v>
      </c>
      <c r="J4998" t="s">
        <v>21</v>
      </c>
      <c r="K4998">
        <v>6</v>
      </c>
      <c r="L4998" t="s">
        <v>35</v>
      </c>
      <c r="M4998">
        <v>808</v>
      </c>
    </row>
    <row r="4999" spans="1:13">
      <c r="A4999">
        <v>4993</v>
      </c>
      <c r="B4999">
        <v>54994</v>
      </c>
      <c r="C4999" t="s">
        <v>10600</v>
      </c>
      <c r="D4999" t="s">
        <v>94</v>
      </c>
      <c r="E4999" t="s">
        <v>10601</v>
      </c>
      <c r="F4999" t="str">
        <f>"00052486"</f>
        <v>00052486</v>
      </c>
      <c r="G4999" t="s">
        <v>82</v>
      </c>
      <c r="H4999" t="s">
        <v>20</v>
      </c>
      <c r="I4999">
        <v>1475</v>
      </c>
      <c r="J4999" t="s">
        <v>21</v>
      </c>
      <c r="K4999">
        <v>0</v>
      </c>
      <c r="L4999" t="s">
        <v>35</v>
      </c>
      <c r="M4999">
        <v>908</v>
      </c>
    </row>
    <row r="5000" spans="1:13">
      <c r="A5000">
        <v>4994</v>
      </c>
      <c r="B5000">
        <v>70738</v>
      </c>
      <c r="C5000" t="s">
        <v>10602</v>
      </c>
      <c r="D5000" t="s">
        <v>563</v>
      </c>
      <c r="E5000" t="s">
        <v>10603</v>
      </c>
      <c r="F5000" t="str">
        <f>"201511018605"</f>
        <v>201511018605</v>
      </c>
      <c r="G5000" t="s">
        <v>150</v>
      </c>
      <c r="H5000" t="s">
        <v>151</v>
      </c>
      <c r="I5000">
        <v>1699</v>
      </c>
      <c r="J5000" t="s">
        <v>21</v>
      </c>
      <c r="K5000">
        <v>0</v>
      </c>
      <c r="L5000" t="s">
        <v>35</v>
      </c>
      <c r="M5000">
        <v>836</v>
      </c>
    </row>
    <row r="5001" spans="1:13">
      <c r="A5001">
        <v>4995</v>
      </c>
      <c r="B5001">
        <v>89996</v>
      </c>
      <c r="C5001" t="s">
        <v>10604</v>
      </c>
      <c r="D5001" t="s">
        <v>105</v>
      </c>
      <c r="E5001" t="s">
        <v>10605</v>
      </c>
      <c r="F5001" t="str">
        <f>"00417527"</f>
        <v>00417527</v>
      </c>
      <c r="G5001" t="s">
        <v>737</v>
      </c>
      <c r="H5001" t="s">
        <v>20</v>
      </c>
      <c r="I5001">
        <v>1564</v>
      </c>
      <c r="J5001" t="s">
        <v>21</v>
      </c>
      <c r="K5001">
        <v>6</v>
      </c>
      <c r="L5001" t="s">
        <v>35</v>
      </c>
      <c r="M5001">
        <v>1108</v>
      </c>
    </row>
    <row r="5002" spans="1:13">
      <c r="A5002">
        <v>4996</v>
      </c>
      <c r="B5002">
        <v>93181</v>
      </c>
      <c r="C5002" t="s">
        <v>10606</v>
      </c>
      <c r="D5002" t="s">
        <v>1808</v>
      </c>
      <c r="E5002" t="s">
        <v>10607</v>
      </c>
      <c r="F5002" t="str">
        <f>"00405809"</f>
        <v>00405809</v>
      </c>
      <c r="G5002" t="s">
        <v>502</v>
      </c>
      <c r="H5002" t="s">
        <v>503</v>
      </c>
      <c r="I5002">
        <v>1359</v>
      </c>
      <c r="J5002" t="s">
        <v>21</v>
      </c>
      <c r="K5002">
        <v>0</v>
      </c>
      <c r="L5002" t="s">
        <v>35</v>
      </c>
      <c r="M5002">
        <v>1300</v>
      </c>
    </row>
    <row r="5003" spans="1:13">
      <c r="A5003">
        <v>4997</v>
      </c>
      <c r="B5003">
        <v>114558</v>
      </c>
      <c r="C5003" t="s">
        <v>10608</v>
      </c>
      <c r="D5003" t="s">
        <v>80</v>
      </c>
      <c r="E5003" t="s">
        <v>10609</v>
      </c>
      <c r="F5003" t="str">
        <f>"00417246"</f>
        <v>00417246</v>
      </c>
      <c r="G5003" t="s">
        <v>1869</v>
      </c>
      <c r="H5003" t="s">
        <v>20</v>
      </c>
      <c r="I5003">
        <v>1473</v>
      </c>
      <c r="J5003" t="s">
        <v>21</v>
      </c>
      <c r="K5003">
        <v>0</v>
      </c>
      <c r="M5003">
        <v>1438</v>
      </c>
    </row>
    <row r="5004" spans="1:13">
      <c r="A5004">
        <v>4998</v>
      </c>
      <c r="B5004">
        <v>93794</v>
      </c>
      <c r="C5004" t="s">
        <v>10610</v>
      </c>
      <c r="D5004" t="s">
        <v>102</v>
      </c>
      <c r="E5004" t="s">
        <v>10611</v>
      </c>
      <c r="F5004" t="str">
        <f>"00376589"</f>
        <v>00376589</v>
      </c>
      <c r="G5004" t="s">
        <v>47</v>
      </c>
      <c r="H5004" t="s">
        <v>48</v>
      </c>
      <c r="I5004">
        <v>1623</v>
      </c>
      <c r="J5004" t="s">
        <v>21</v>
      </c>
      <c r="K5004">
        <v>0</v>
      </c>
      <c r="L5004" t="s">
        <v>35</v>
      </c>
      <c r="M5004">
        <v>958</v>
      </c>
    </row>
    <row r="5005" spans="1:13">
      <c r="A5005">
        <v>4999</v>
      </c>
      <c r="B5005">
        <v>114916</v>
      </c>
      <c r="C5005" t="s">
        <v>10612</v>
      </c>
      <c r="D5005" t="s">
        <v>105</v>
      </c>
      <c r="E5005" t="s">
        <v>10613</v>
      </c>
      <c r="F5005" t="str">
        <f>"00181434"</f>
        <v>00181434</v>
      </c>
      <c r="G5005" t="s">
        <v>82</v>
      </c>
      <c r="H5005" t="s">
        <v>20</v>
      </c>
      <c r="I5005">
        <v>1475</v>
      </c>
      <c r="J5005" t="s">
        <v>21</v>
      </c>
      <c r="K5005">
        <v>0</v>
      </c>
      <c r="L5005" t="s">
        <v>35</v>
      </c>
      <c r="M5005">
        <v>1100</v>
      </c>
    </row>
    <row r="5006" spans="1:13">
      <c r="A5006">
        <v>5000</v>
      </c>
      <c r="B5006">
        <v>115211</v>
      </c>
      <c r="C5006" t="s">
        <v>10614</v>
      </c>
      <c r="D5006" t="s">
        <v>700</v>
      </c>
      <c r="E5006" t="s">
        <v>10615</v>
      </c>
      <c r="F5006" t="str">
        <f>"00355245"</f>
        <v>00355245</v>
      </c>
      <c r="G5006" t="s">
        <v>107</v>
      </c>
      <c r="H5006" t="s">
        <v>20</v>
      </c>
      <c r="I5006">
        <v>1472</v>
      </c>
      <c r="J5006" t="s">
        <v>21</v>
      </c>
      <c r="K5006">
        <v>0</v>
      </c>
      <c r="M5006">
        <v>1388</v>
      </c>
    </row>
    <row r="5007" spans="1:13">
      <c r="A5007">
        <v>5001</v>
      </c>
      <c r="B5007">
        <v>102734</v>
      </c>
      <c r="C5007" t="s">
        <v>10616</v>
      </c>
      <c r="D5007" t="s">
        <v>180</v>
      </c>
      <c r="E5007" t="s">
        <v>10617</v>
      </c>
      <c r="F5007" t="str">
        <f>"00396191"</f>
        <v>00396191</v>
      </c>
      <c r="G5007" t="s">
        <v>38</v>
      </c>
      <c r="H5007" t="s">
        <v>39</v>
      </c>
      <c r="I5007">
        <v>1634</v>
      </c>
      <c r="J5007" t="s">
        <v>21</v>
      </c>
      <c r="K5007">
        <v>0</v>
      </c>
      <c r="L5007" t="s">
        <v>88</v>
      </c>
      <c r="M5007">
        <v>475</v>
      </c>
    </row>
    <row r="5008" spans="1:13">
      <c r="A5008">
        <v>5002</v>
      </c>
      <c r="B5008">
        <v>113054</v>
      </c>
      <c r="C5008" t="s">
        <v>10618</v>
      </c>
      <c r="D5008" t="s">
        <v>105</v>
      </c>
      <c r="E5008" t="s">
        <v>10619</v>
      </c>
      <c r="F5008" t="str">
        <f>"00418823"</f>
        <v>00418823</v>
      </c>
      <c r="G5008" t="s">
        <v>47</v>
      </c>
      <c r="H5008" t="s">
        <v>48</v>
      </c>
      <c r="I5008">
        <v>1623</v>
      </c>
      <c r="J5008" t="s">
        <v>21</v>
      </c>
      <c r="K5008">
        <v>0</v>
      </c>
      <c r="M5008">
        <v>1388</v>
      </c>
    </row>
    <row r="5009" spans="1:13">
      <c r="A5009">
        <v>5003</v>
      </c>
      <c r="B5009">
        <v>69044</v>
      </c>
      <c r="C5009" t="s">
        <v>10620</v>
      </c>
      <c r="D5009" t="s">
        <v>180</v>
      </c>
      <c r="E5009" t="s">
        <v>10621</v>
      </c>
      <c r="F5009" t="str">
        <f>"00348226"</f>
        <v>00348226</v>
      </c>
      <c r="G5009" t="s">
        <v>352</v>
      </c>
      <c r="H5009" t="s">
        <v>20</v>
      </c>
      <c r="I5009">
        <v>1471</v>
      </c>
      <c r="J5009" t="s">
        <v>21</v>
      </c>
      <c r="K5009">
        <v>0</v>
      </c>
      <c r="M5009">
        <v>1428</v>
      </c>
    </row>
    <row r="5010" spans="1:13">
      <c r="A5010">
        <v>5004</v>
      </c>
      <c r="B5010">
        <v>116682</v>
      </c>
      <c r="C5010" t="s">
        <v>10622</v>
      </c>
      <c r="D5010" t="s">
        <v>105</v>
      </c>
      <c r="E5010" t="s">
        <v>10623</v>
      </c>
      <c r="F5010" t="str">
        <f>"00196977"</f>
        <v>00196977</v>
      </c>
      <c r="G5010" t="s">
        <v>1239</v>
      </c>
      <c r="H5010" t="s">
        <v>1296</v>
      </c>
      <c r="I5010">
        <v>1638</v>
      </c>
      <c r="J5010" t="s">
        <v>21</v>
      </c>
      <c r="K5010">
        <v>0</v>
      </c>
      <c r="M5010">
        <v>1511</v>
      </c>
    </row>
    <row r="5011" spans="1:13">
      <c r="A5011">
        <v>5005</v>
      </c>
      <c r="B5011">
        <v>47203</v>
      </c>
      <c r="C5011" t="s">
        <v>10624</v>
      </c>
      <c r="D5011" t="s">
        <v>80</v>
      </c>
      <c r="E5011" t="s">
        <v>10625</v>
      </c>
      <c r="F5011" t="str">
        <f>"00102980"</f>
        <v>00102980</v>
      </c>
      <c r="G5011" t="s">
        <v>92</v>
      </c>
      <c r="H5011" t="s">
        <v>780</v>
      </c>
      <c r="I5011">
        <v>1402</v>
      </c>
      <c r="J5011" t="s">
        <v>21</v>
      </c>
      <c r="K5011">
        <v>0</v>
      </c>
      <c r="L5011" t="s">
        <v>35</v>
      </c>
      <c r="M5011">
        <v>1325</v>
      </c>
    </row>
    <row r="5012" spans="1:13">
      <c r="A5012">
        <v>5006</v>
      </c>
      <c r="B5012">
        <v>76991</v>
      </c>
      <c r="C5012" t="s">
        <v>10626</v>
      </c>
      <c r="D5012" t="s">
        <v>80</v>
      </c>
      <c r="E5012" t="s">
        <v>10627</v>
      </c>
      <c r="F5012" t="str">
        <f>"00071756"</f>
        <v>00071756</v>
      </c>
      <c r="G5012" t="s">
        <v>380</v>
      </c>
      <c r="H5012" t="s">
        <v>20</v>
      </c>
      <c r="I5012">
        <v>1496</v>
      </c>
      <c r="J5012" t="s">
        <v>21</v>
      </c>
      <c r="K5012">
        <v>0</v>
      </c>
      <c r="M5012">
        <v>1505</v>
      </c>
    </row>
    <row r="5013" spans="1:13">
      <c r="A5013">
        <v>5007</v>
      </c>
      <c r="B5013">
        <v>113776</v>
      </c>
      <c r="C5013" t="s">
        <v>10628</v>
      </c>
      <c r="D5013" t="s">
        <v>153</v>
      </c>
      <c r="E5013" t="s">
        <v>10629</v>
      </c>
      <c r="F5013" t="str">
        <f>"00089237"</f>
        <v>00089237</v>
      </c>
      <c r="G5013" t="s">
        <v>19</v>
      </c>
      <c r="H5013" t="s">
        <v>20</v>
      </c>
      <c r="I5013">
        <v>1531</v>
      </c>
      <c r="J5013" t="s">
        <v>21</v>
      </c>
      <c r="K5013">
        <v>0</v>
      </c>
      <c r="M5013">
        <v>1338</v>
      </c>
    </row>
    <row r="5014" spans="1:13">
      <c r="A5014">
        <v>5008</v>
      </c>
      <c r="B5014">
        <v>61808</v>
      </c>
      <c r="C5014" t="s">
        <v>10630</v>
      </c>
      <c r="D5014" t="s">
        <v>180</v>
      </c>
      <c r="E5014" t="s">
        <v>10631</v>
      </c>
      <c r="F5014" t="str">
        <f>"00304020"</f>
        <v>00304020</v>
      </c>
      <c r="G5014" t="s">
        <v>955</v>
      </c>
      <c r="H5014" t="s">
        <v>274</v>
      </c>
      <c r="I5014">
        <v>1391</v>
      </c>
      <c r="J5014" t="s">
        <v>21</v>
      </c>
      <c r="K5014">
        <v>0</v>
      </c>
      <c r="M5014">
        <v>1463</v>
      </c>
    </row>
    <row r="5015" spans="1:13">
      <c r="A5015">
        <v>5009</v>
      </c>
      <c r="B5015">
        <v>63584</v>
      </c>
      <c r="C5015" t="s">
        <v>10632</v>
      </c>
      <c r="D5015" t="s">
        <v>76</v>
      </c>
      <c r="E5015" t="s">
        <v>10633</v>
      </c>
      <c r="F5015" t="str">
        <f>"201412005551"</f>
        <v>201412005551</v>
      </c>
      <c r="G5015" t="s">
        <v>47</v>
      </c>
      <c r="H5015" t="s">
        <v>48</v>
      </c>
      <c r="I5015">
        <v>1623</v>
      </c>
      <c r="J5015" t="s">
        <v>21</v>
      </c>
      <c r="K5015">
        <v>0</v>
      </c>
      <c r="M5015">
        <v>1353</v>
      </c>
    </row>
    <row r="5016" spans="1:13">
      <c r="A5016">
        <v>5010</v>
      </c>
      <c r="B5016">
        <v>56441</v>
      </c>
      <c r="C5016" t="s">
        <v>10634</v>
      </c>
      <c r="D5016" t="s">
        <v>98</v>
      </c>
      <c r="E5016" t="s">
        <v>10635</v>
      </c>
      <c r="F5016" t="str">
        <f>"00367555"</f>
        <v>00367555</v>
      </c>
      <c r="G5016" t="s">
        <v>150</v>
      </c>
      <c r="H5016" t="s">
        <v>151</v>
      </c>
      <c r="I5016">
        <v>1699</v>
      </c>
      <c r="J5016" t="s">
        <v>21</v>
      </c>
      <c r="K5016">
        <v>0</v>
      </c>
      <c r="M5016">
        <v>1318</v>
      </c>
    </row>
    <row r="5017" spans="1:13">
      <c r="A5017">
        <v>5011</v>
      </c>
      <c r="B5017">
        <v>68399</v>
      </c>
      <c r="C5017" t="s">
        <v>10636</v>
      </c>
      <c r="D5017" t="s">
        <v>563</v>
      </c>
      <c r="E5017" t="s">
        <v>10637</v>
      </c>
      <c r="F5017" t="str">
        <f>"00405909"</f>
        <v>00405909</v>
      </c>
      <c r="G5017" t="s">
        <v>1561</v>
      </c>
      <c r="H5017" t="s">
        <v>1562</v>
      </c>
      <c r="I5017">
        <v>1616</v>
      </c>
      <c r="J5017" t="s">
        <v>21</v>
      </c>
      <c r="K5017">
        <v>0</v>
      </c>
      <c r="L5017" t="s">
        <v>35</v>
      </c>
      <c r="M5017">
        <v>985</v>
      </c>
    </row>
    <row r="5018" spans="1:13">
      <c r="A5018">
        <v>5012</v>
      </c>
      <c r="B5018">
        <v>53386</v>
      </c>
      <c r="C5018" t="s">
        <v>10638</v>
      </c>
      <c r="D5018" t="s">
        <v>145</v>
      </c>
      <c r="E5018" t="s">
        <v>10639</v>
      </c>
      <c r="F5018" t="str">
        <f>"00299320"</f>
        <v>00299320</v>
      </c>
      <c r="G5018" t="s">
        <v>92</v>
      </c>
      <c r="H5018" t="s">
        <v>20</v>
      </c>
      <c r="I5018">
        <v>1425</v>
      </c>
      <c r="J5018" t="s">
        <v>21</v>
      </c>
      <c r="K5018">
        <v>0</v>
      </c>
      <c r="L5018" t="s">
        <v>83</v>
      </c>
      <c r="M5018">
        <v>1638</v>
      </c>
    </row>
    <row r="5019" spans="1:13">
      <c r="A5019">
        <v>5013</v>
      </c>
      <c r="B5019">
        <v>93484</v>
      </c>
      <c r="C5019" t="s">
        <v>10640</v>
      </c>
      <c r="D5019" t="s">
        <v>243</v>
      </c>
      <c r="E5019" t="s">
        <v>10641</v>
      </c>
      <c r="F5019" t="str">
        <f>"00405261"</f>
        <v>00405261</v>
      </c>
      <c r="G5019" t="s">
        <v>284</v>
      </c>
      <c r="H5019" t="s">
        <v>270</v>
      </c>
      <c r="I5019">
        <v>1586</v>
      </c>
      <c r="J5019" t="s">
        <v>21</v>
      </c>
      <c r="K5019">
        <v>0</v>
      </c>
      <c r="L5019" t="s">
        <v>112</v>
      </c>
      <c r="M5019">
        <v>858</v>
      </c>
    </row>
    <row r="5020" spans="1:13">
      <c r="A5020">
        <v>5014</v>
      </c>
      <c r="B5020">
        <v>52381</v>
      </c>
      <c r="C5020" t="s">
        <v>10642</v>
      </c>
      <c r="D5020" t="s">
        <v>213</v>
      </c>
      <c r="E5020" t="s">
        <v>10643</v>
      </c>
      <c r="F5020" t="str">
        <f>"00312258"</f>
        <v>00312258</v>
      </c>
      <c r="G5020" t="s">
        <v>3854</v>
      </c>
      <c r="H5020" t="s">
        <v>1499</v>
      </c>
      <c r="I5020">
        <v>1599</v>
      </c>
      <c r="J5020" t="s">
        <v>21</v>
      </c>
      <c r="K5020">
        <v>0</v>
      </c>
      <c r="L5020" t="s">
        <v>35</v>
      </c>
      <c r="M5020">
        <v>1108</v>
      </c>
    </row>
    <row r="5021" spans="1:13">
      <c r="A5021">
        <v>5015</v>
      </c>
      <c r="B5021">
        <v>62344</v>
      </c>
      <c r="C5021" t="s">
        <v>10644</v>
      </c>
      <c r="D5021" t="s">
        <v>85</v>
      </c>
      <c r="E5021" t="s">
        <v>10645</v>
      </c>
      <c r="F5021" t="str">
        <f>"00026829"</f>
        <v>00026829</v>
      </c>
      <c r="G5021" t="s">
        <v>87</v>
      </c>
      <c r="H5021" t="s">
        <v>20</v>
      </c>
      <c r="I5021">
        <v>1436</v>
      </c>
      <c r="J5021" t="s">
        <v>21</v>
      </c>
      <c r="K5021">
        <v>0</v>
      </c>
      <c r="L5021" t="s">
        <v>112</v>
      </c>
      <c r="M5021">
        <v>800</v>
      </c>
    </row>
    <row r="5022" spans="1:13">
      <c r="A5022">
        <v>5016</v>
      </c>
      <c r="B5022">
        <v>101390</v>
      </c>
      <c r="C5022" t="s">
        <v>10646</v>
      </c>
      <c r="D5022" t="s">
        <v>905</v>
      </c>
      <c r="E5022" t="s">
        <v>10647</v>
      </c>
      <c r="F5022" t="str">
        <f>"00399464"</f>
        <v>00399464</v>
      </c>
      <c r="G5022" t="s">
        <v>4542</v>
      </c>
      <c r="H5022" t="s">
        <v>1610</v>
      </c>
      <c r="I5022">
        <v>1313</v>
      </c>
      <c r="J5022" t="s">
        <v>21</v>
      </c>
      <c r="K5022">
        <v>6</v>
      </c>
      <c r="M5022">
        <v>1072</v>
      </c>
    </row>
    <row r="5023" spans="1:13">
      <c r="A5023">
        <v>5017</v>
      </c>
      <c r="B5023">
        <v>96775</v>
      </c>
      <c r="C5023" t="s">
        <v>10648</v>
      </c>
      <c r="D5023" t="s">
        <v>80</v>
      </c>
      <c r="E5023" t="s">
        <v>10649</v>
      </c>
      <c r="F5023" t="str">
        <f>"00045549"</f>
        <v>00045549</v>
      </c>
      <c r="G5023" t="s">
        <v>1998</v>
      </c>
      <c r="H5023" t="s">
        <v>20</v>
      </c>
      <c r="I5023">
        <v>1497</v>
      </c>
      <c r="J5023" t="s">
        <v>21</v>
      </c>
      <c r="K5023">
        <v>0</v>
      </c>
      <c r="M5023">
        <v>1498</v>
      </c>
    </row>
    <row r="5024" spans="1:13">
      <c r="A5024">
        <v>5018</v>
      </c>
      <c r="B5024">
        <v>94201</v>
      </c>
      <c r="C5024" t="s">
        <v>10650</v>
      </c>
      <c r="D5024" t="s">
        <v>105</v>
      </c>
      <c r="E5024" t="s">
        <v>10651</v>
      </c>
      <c r="F5024" t="str">
        <f>"00387757"</f>
        <v>00387757</v>
      </c>
      <c r="G5024" t="s">
        <v>502</v>
      </c>
      <c r="H5024" t="s">
        <v>503</v>
      </c>
      <c r="I5024">
        <v>1359</v>
      </c>
      <c r="J5024" t="s">
        <v>21</v>
      </c>
      <c r="K5024">
        <v>0</v>
      </c>
      <c r="M5024">
        <v>1688</v>
      </c>
    </row>
    <row r="5025" spans="1:13">
      <c r="A5025">
        <v>5019</v>
      </c>
      <c r="B5025">
        <v>83527</v>
      </c>
      <c r="C5025" t="s">
        <v>10652</v>
      </c>
      <c r="D5025" t="s">
        <v>105</v>
      </c>
      <c r="E5025" t="s">
        <v>10653</v>
      </c>
      <c r="F5025" t="str">
        <f>"00411155"</f>
        <v>00411155</v>
      </c>
      <c r="G5025" t="s">
        <v>1764</v>
      </c>
      <c r="H5025" t="s">
        <v>20</v>
      </c>
      <c r="I5025">
        <v>1532</v>
      </c>
      <c r="J5025" t="s">
        <v>21</v>
      </c>
      <c r="K5025">
        <v>0</v>
      </c>
      <c r="M5025">
        <v>1378</v>
      </c>
    </row>
    <row r="5026" spans="1:13">
      <c r="A5026">
        <v>5020</v>
      </c>
      <c r="B5026">
        <v>91290</v>
      </c>
      <c r="C5026" t="s">
        <v>10654</v>
      </c>
      <c r="D5026" t="s">
        <v>153</v>
      </c>
      <c r="E5026" t="s">
        <v>10655</v>
      </c>
      <c r="F5026" t="str">
        <f>"00376577"</f>
        <v>00376577</v>
      </c>
      <c r="G5026" t="s">
        <v>511</v>
      </c>
      <c r="H5026" t="s">
        <v>3640</v>
      </c>
      <c r="I5026">
        <v>1713</v>
      </c>
      <c r="J5026" t="s">
        <v>21</v>
      </c>
      <c r="K5026">
        <v>6</v>
      </c>
      <c r="M5026">
        <v>1333</v>
      </c>
    </row>
    <row r="5027" spans="1:13">
      <c r="A5027">
        <v>5021</v>
      </c>
      <c r="B5027">
        <v>105089</v>
      </c>
      <c r="C5027" t="s">
        <v>10656</v>
      </c>
      <c r="D5027" t="s">
        <v>105</v>
      </c>
      <c r="E5027" t="s">
        <v>10657</v>
      </c>
      <c r="F5027" t="str">
        <f>"00272889"</f>
        <v>00272889</v>
      </c>
      <c r="G5027" t="s">
        <v>47</v>
      </c>
      <c r="H5027" t="s">
        <v>48</v>
      </c>
      <c r="I5027">
        <v>1623</v>
      </c>
      <c r="J5027" t="s">
        <v>21</v>
      </c>
      <c r="K5027">
        <v>0</v>
      </c>
      <c r="M5027">
        <v>1538</v>
      </c>
    </row>
    <row r="5028" spans="1:13">
      <c r="A5028">
        <v>5022</v>
      </c>
      <c r="B5028">
        <v>111107</v>
      </c>
      <c r="C5028" t="s">
        <v>10658</v>
      </c>
      <c r="D5028" t="s">
        <v>94</v>
      </c>
      <c r="E5028" t="s">
        <v>10659</v>
      </c>
      <c r="F5028" t="str">
        <f>"00416873"</f>
        <v>00416873</v>
      </c>
      <c r="G5028" t="s">
        <v>8429</v>
      </c>
      <c r="H5028" t="s">
        <v>274</v>
      </c>
      <c r="I5028">
        <v>1387</v>
      </c>
      <c r="J5028" t="s">
        <v>21</v>
      </c>
      <c r="K5028">
        <v>6</v>
      </c>
      <c r="L5028" t="s">
        <v>35</v>
      </c>
      <c r="M5028">
        <v>1350</v>
      </c>
    </row>
    <row r="5029" spans="1:13">
      <c r="A5029">
        <v>5023</v>
      </c>
      <c r="B5029">
        <v>114335</v>
      </c>
      <c r="C5029" t="s">
        <v>10660</v>
      </c>
      <c r="D5029" t="s">
        <v>94</v>
      </c>
      <c r="E5029" t="s">
        <v>10661</v>
      </c>
      <c r="F5029" t="str">
        <f>"00410668"</f>
        <v>00410668</v>
      </c>
      <c r="G5029" t="s">
        <v>203</v>
      </c>
      <c r="H5029" t="s">
        <v>20</v>
      </c>
      <c r="I5029">
        <v>1476</v>
      </c>
      <c r="J5029" t="s">
        <v>21</v>
      </c>
      <c r="K5029">
        <v>6</v>
      </c>
      <c r="M5029">
        <v>1688</v>
      </c>
    </row>
    <row r="5030" spans="1:13">
      <c r="A5030">
        <v>5024</v>
      </c>
      <c r="B5030">
        <v>104094</v>
      </c>
      <c r="C5030" t="s">
        <v>10662</v>
      </c>
      <c r="D5030" t="s">
        <v>94</v>
      </c>
      <c r="E5030" t="s">
        <v>10663</v>
      </c>
      <c r="F5030" t="str">
        <f>"00402469"</f>
        <v>00402469</v>
      </c>
      <c r="G5030" t="s">
        <v>437</v>
      </c>
      <c r="H5030" t="s">
        <v>3942</v>
      </c>
      <c r="I5030">
        <v>1371</v>
      </c>
      <c r="J5030" t="s">
        <v>21</v>
      </c>
      <c r="K5030">
        <v>0</v>
      </c>
      <c r="M5030">
        <v>1763</v>
      </c>
    </row>
    <row r="5031" spans="1:13">
      <c r="A5031">
        <v>5025</v>
      </c>
      <c r="B5031">
        <v>77537</v>
      </c>
      <c r="C5031" t="s">
        <v>10664</v>
      </c>
      <c r="D5031" t="s">
        <v>76</v>
      </c>
      <c r="E5031" t="s">
        <v>10665</v>
      </c>
      <c r="F5031" t="str">
        <f>"00381893"</f>
        <v>00381893</v>
      </c>
      <c r="G5031" t="s">
        <v>47</v>
      </c>
      <c r="H5031" t="s">
        <v>48</v>
      </c>
      <c r="I5031">
        <v>1623</v>
      </c>
      <c r="J5031" t="s">
        <v>21</v>
      </c>
      <c r="K5031">
        <v>0</v>
      </c>
      <c r="M5031">
        <v>1328</v>
      </c>
    </row>
    <row r="5032" spans="1:13">
      <c r="A5032">
        <v>5026</v>
      </c>
      <c r="B5032">
        <v>105285</v>
      </c>
      <c r="C5032" t="s">
        <v>10666</v>
      </c>
      <c r="D5032" t="s">
        <v>198</v>
      </c>
      <c r="E5032" t="s">
        <v>10667</v>
      </c>
      <c r="F5032" t="str">
        <f>"00277475"</f>
        <v>00277475</v>
      </c>
      <c r="G5032" t="s">
        <v>561</v>
      </c>
      <c r="H5032" t="s">
        <v>20</v>
      </c>
      <c r="I5032">
        <v>1574</v>
      </c>
      <c r="J5032" t="s">
        <v>21</v>
      </c>
      <c r="K5032">
        <v>0</v>
      </c>
      <c r="M5032">
        <v>1365</v>
      </c>
    </row>
    <row r="5033" spans="1:13">
      <c r="A5033">
        <v>5027</v>
      </c>
      <c r="B5033">
        <v>51696</v>
      </c>
      <c r="C5033" t="s">
        <v>10668</v>
      </c>
      <c r="D5033" t="s">
        <v>117</v>
      </c>
      <c r="E5033" t="s">
        <v>10669</v>
      </c>
      <c r="F5033" t="str">
        <f>"00030317"</f>
        <v>00030317</v>
      </c>
      <c r="G5033" t="s">
        <v>603</v>
      </c>
      <c r="H5033" t="s">
        <v>20</v>
      </c>
      <c r="I5033">
        <v>1464</v>
      </c>
      <c r="J5033" t="s">
        <v>21</v>
      </c>
      <c r="K5033">
        <v>0</v>
      </c>
      <c r="M5033">
        <v>1688</v>
      </c>
    </row>
    <row r="5034" spans="1:13">
      <c r="A5034">
        <v>5028</v>
      </c>
      <c r="B5034">
        <v>71397</v>
      </c>
      <c r="C5034" t="s">
        <v>10670</v>
      </c>
      <c r="D5034" t="s">
        <v>98</v>
      </c>
      <c r="E5034" t="s">
        <v>10671</v>
      </c>
      <c r="F5034" t="str">
        <f>"00284741"</f>
        <v>00284741</v>
      </c>
      <c r="G5034" t="s">
        <v>307</v>
      </c>
      <c r="H5034" t="s">
        <v>308</v>
      </c>
      <c r="I5034">
        <v>1589</v>
      </c>
      <c r="J5034" t="s">
        <v>21</v>
      </c>
      <c r="K5034">
        <v>0</v>
      </c>
      <c r="L5034" t="s">
        <v>35</v>
      </c>
      <c r="M5034">
        <v>1008</v>
      </c>
    </row>
    <row r="5035" spans="1:13">
      <c r="A5035">
        <v>5029</v>
      </c>
      <c r="B5035">
        <v>66721</v>
      </c>
      <c r="C5035" t="s">
        <v>10672</v>
      </c>
      <c r="D5035" t="s">
        <v>80</v>
      </c>
      <c r="E5035" t="s">
        <v>10673</v>
      </c>
      <c r="F5035" t="str">
        <f>"00379351"</f>
        <v>00379351</v>
      </c>
      <c r="G5035" t="s">
        <v>3121</v>
      </c>
      <c r="H5035" t="s">
        <v>20</v>
      </c>
      <c r="I5035">
        <v>1491</v>
      </c>
      <c r="J5035" t="s">
        <v>21</v>
      </c>
      <c r="K5035">
        <v>0</v>
      </c>
      <c r="M5035">
        <v>1888</v>
      </c>
    </row>
    <row r="5036" spans="1:13">
      <c r="A5036">
        <v>5030</v>
      </c>
      <c r="B5036">
        <v>98151</v>
      </c>
      <c r="C5036" t="s">
        <v>10674</v>
      </c>
      <c r="D5036" t="s">
        <v>76</v>
      </c>
      <c r="E5036" t="s">
        <v>10675</v>
      </c>
      <c r="F5036" t="str">
        <f>"00383387"</f>
        <v>00383387</v>
      </c>
      <c r="G5036" t="s">
        <v>2817</v>
      </c>
      <c r="H5036" t="s">
        <v>20</v>
      </c>
      <c r="I5036">
        <v>1493</v>
      </c>
      <c r="J5036" t="s">
        <v>21</v>
      </c>
      <c r="K5036">
        <v>0</v>
      </c>
      <c r="M5036">
        <v>1518</v>
      </c>
    </row>
    <row r="5037" spans="1:13">
      <c r="A5037">
        <v>5031</v>
      </c>
      <c r="B5037">
        <v>59405</v>
      </c>
      <c r="C5037" t="s">
        <v>10676</v>
      </c>
      <c r="D5037" t="s">
        <v>391</v>
      </c>
      <c r="E5037" t="s">
        <v>10677</v>
      </c>
      <c r="F5037" t="str">
        <f>"00318786"</f>
        <v>00318786</v>
      </c>
      <c r="G5037" t="s">
        <v>1695</v>
      </c>
      <c r="H5037" t="s">
        <v>20</v>
      </c>
      <c r="I5037">
        <v>1533</v>
      </c>
      <c r="J5037" t="s">
        <v>21</v>
      </c>
      <c r="K5037">
        <v>0</v>
      </c>
      <c r="L5037" t="s">
        <v>35</v>
      </c>
      <c r="M5037">
        <v>850</v>
      </c>
    </row>
    <row r="5038" spans="1:13">
      <c r="A5038">
        <v>5032</v>
      </c>
      <c r="B5038">
        <v>53392</v>
      </c>
      <c r="C5038" t="s">
        <v>10678</v>
      </c>
      <c r="D5038" t="s">
        <v>213</v>
      </c>
      <c r="E5038" t="s">
        <v>10679</v>
      </c>
      <c r="F5038" t="str">
        <f>"00257777"</f>
        <v>00257777</v>
      </c>
      <c r="G5038" t="s">
        <v>1005</v>
      </c>
      <c r="H5038" t="s">
        <v>20</v>
      </c>
      <c r="I5038">
        <v>1580</v>
      </c>
      <c r="J5038" t="s">
        <v>21</v>
      </c>
      <c r="K5038">
        <v>6</v>
      </c>
      <c r="L5038" t="s">
        <v>35</v>
      </c>
      <c r="M5038">
        <v>908</v>
      </c>
    </row>
    <row r="5039" spans="1:13">
      <c r="A5039">
        <v>5033</v>
      </c>
      <c r="B5039">
        <v>89519</v>
      </c>
      <c r="C5039" t="s">
        <v>10680</v>
      </c>
      <c r="D5039" t="s">
        <v>213</v>
      </c>
      <c r="E5039" t="s">
        <v>10681</v>
      </c>
      <c r="F5039" t="str">
        <f>"00257825"</f>
        <v>00257825</v>
      </c>
      <c r="G5039" t="s">
        <v>1005</v>
      </c>
      <c r="H5039" t="s">
        <v>20</v>
      </c>
      <c r="I5039">
        <v>1580</v>
      </c>
      <c r="J5039" t="s">
        <v>21</v>
      </c>
      <c r="K5039">
        <v>6</v>
      </c>
      <c r="M5039">
        <v>1328</v>
      </c>
    </row>
    <row r="5040" spans="1:13">
      <c r="A5040">
        <v>5034</v>
      </c>
      <c r="B5040">
        <v>68545</v>
      </c>
      <c r="C5040" t="s">
        <v>10682</v>
      </c>
      <c r="D5040" t="s">
        <v>243</v>
      </c>
      <c r="E5040" t="s">
        <v>10683</v>
      </c>
      <c r="F5040" t="str">
        <f>"00076585"</f>
        <v>00076585</v>
      </c>
      <c r="G5040" t="s">
        <v>299</v>
      </c>
      <c r="H5040" t="s">
        <v>20</v>
      </c>
      <c r="I5040">
        <v>1490</v>
      </c>
      <c r="J5040" t="s">
        <v>21</v>
      </c>
      <c r="K5040">
        <v>0</v>
      </c>
      <c r="M5040">
        <v>1341</v>
      </c>
    </row>
    <row r="5041" spans="1:13">
      <c r="A5041">
        <v>5035</v>
      </c>
      <c r="B5041">
        <v>90605</v>
      </c>
      <c r="C5041" t="s">
        <v>10684</v>
      </c>
      <c r="D5041" t="s">
        <v>102</v>
      </c>
      <c r="E5041" t="s">
        <v>10685</v>
      </c>
      <c r="F5041" t="str">
        <f>"201604000774"</f>
        <v>201604000774</v>
      </c>
      <c r="G5041" t="s">
        <v>1155</v>
      </c>
      <c r="H5041" t="s">
        <v>20</v>
      </c>
      <c r="I5041">
        <v>1480</v>
      </c>
      <c r="J5041" t="s">
        <v>21</v>
      </c>
      <c r="K5041">
        <v>0</v>
      </c>
      <c r="L5041" t="s">
        <v>35</v>
      </c>
      <c r="M5041">
        <v>1070</v>
      </c>
    </row>
    <row r="5042" spans="1:13">
      <c r="A5042">
        <v>5036</v>
      </c>
      <c r="B5042">
        <v>69141</v>
      </c>
      <c r="C5042" t="s">
        <v>10686</v>
      </c>
      <c r="D5042" t="s">
        <v>205</v>
      </c>
      <c r="E5042" t="s">
        <v>10687</v>
      </c>
      <c r="F5042" t="str">
        <f>"00385184"</f>
        <v>00385184</v>
      </c>
      <c r="G5042" t="s">
        <v>754</v>
      </c>
      <c r="H5042" t="s">
        <v>20</v>
      </c>
      <c r="I5042">
        <v>1525</v>
      </c>
      <c r="J5042" t="s">
        <v>21</v>
      </c>
      <c r="K5042">
        <v>6</v>
      </c>
      <c r="M5042">
        <v>1200</v>
      </c>
    </row>
    <row r="5043" spans="1:13">
      <c r="A5043">
        <v>5037</v>
      </c>
      <c r="B5043">
        <v>114809</v>
      </c>
      <c r="C5043" t="s">
        <v>10688</v>
      </c>
      <c r="D5043" t="s">
        <v>76</v>
      </c>
      <c r="E5043" t="s">
        <v>10689</v>
      </c>
      <c r="F5043" t="str">
        <f>"00408418"</f>
        <v>00408418</v>
      </c>
      <c r="G5043" t="s">
        <v>1595</v>
      </c>
      <c r="H5043" t="s">
        <v>20</v>
      </c>
      <c r="I5043">
        <v>1538</v>
      </c>
      <c r="J5043" t="s">
        <v>21</v>
      </c>
      <c r="K5043">
        <v>6</v>
      </c>
      <c r="M5043">
        <v>1688</v>
      </c>
    </row>
    <row r="5044" spans="1:13">
      <c r="A5044">
        <v>5038</v>
      </c>
      <c r="B5044">
        <v>50643</v>
      </c>
      <c r="C5044" t="s">
        <v>10690</v>
      </c>
      <c r="D5044" t="s">
        <v>105</v>
      </c>
      <c r="E5044" t="s">
        <v>10691</v>
      </c>
      <c r="F5044" t="str">
        <f>"00350306"</f>
        <v>00350306</v>
      </c>
      <c r="G5044" t="s">
        <v>107</v>
      </c>
      <c r="H5044" t="s">
        <v>20</v>
      </c>
      <c r="I5044">
        <v>1472</v>
      </c>
      <c r="J5044" t="s">
        <v>21</v>
      </c>
      <c r="K5044">
        <v>0</v>
      </c>
      <c r="L5044" t="s">
        <v>35</v>
      </c>
      <c r="M5044">
        <v>908</v>
      </c>
    </row>
    <row r="5045" spans="1:13">
      <c r="A5045">
        <v>5039</v>
      </c>
      <c r="B5045">
        <v>92479</v>
      </c>
      <c r="C5045" t="s">
        <v>10692</v>
      </c>
      <c r="D5045" t="s">
        <v>914</v>
      </c>
      <c r="E5045" t="s">
        <v>10693</v>
      </c>
      <c r="F5045" t="str">
        <f>"00401826"</f>
        <v>00401826</v>
      </c>
      <c r="G5045" t="s">
        <v>284</v>
      </c>
      <c r="H5045" t="s">
        <v>270</v>
      </c>
      <c r="I5045">
        <v>1586</v>
      </c>
      <c r="J5045" t="s">
        <v>21</v>
      </c>
      <c r="K5045">
        <v>0</v>
      </c>
      <c r="L5045" t="s">
        <v>35</v>
      </c>
      <c r="M5045">
        <v>908</v>
      </c>
    </row>
    <row r="5046" spans="1:13">
      <c r="A5046">
        <v>5040</v>
      </c>
      <c r="B5046">
        <v>91312</v>
      </c>
      <c r="C5046" t="s">
        <v>10694</v>
      </c>
      <c r="D5046" t="s">
        <v>105</v>
      </c>
      <c r="E5046" t="s">
        <v>10695</v>
      </c>
      <c r="F5046" t="str">
        <f>"00353683"</f>
        <v>00353683</v>
      </c>
      <c r="G5046" t="s">
        <v>325</v>
      </c>
      <c r="H5046" t="s">
        <v>326</v>
      </c>
      <c r="I5046">
        <v>1592</v>
      </c>
      <c r="J5046" t="s">
        <v>21</v>
      </c>
      <c r="K5046">
        <v>0</v>
      </c>
      <c r="L5046" t="s">
        <v>35</v>
      </c>
      <c r="M5046">
        <v>1108</v>
      </c>
    </row>
    <row r="5047" spans="1:13">
      <c r="A5047">
        <v>5041</v>
      </c>
      <c r="B5047">
        <v>106684</v>
      </c>
      <c r="C5047" t="s">
        <v>10696</v>
      </c>
      <c r="D5047" t="s">
        <v>105</v>
      </c>
      <c r="E5047" t="s">
        <v>10697</v>
      </c>
      <c r="F5047" t="str">
        <f>"00402232"</f>
        <v>00402232</v>
      </c>
      <c r="G5047" t="s">
        <v>107</v>
      </c>
      <c r="H5047" t="s">
        <v>20</v>
      </c>
      <c r="I5047">
        <v>1472</v>
      </c>
      <c r="J5047" t="s">
        <v>21</v>
      </c>
      <c r="K5047">
        <v>0</v>
      </c>
      <c r="L5047" t="s">
        <v>35</v>
      </c>
      <c r="M5047">
        <v>908</v>
      </c>
    </row>
    <row r="5048" spans="1:13">
      <c r="A5048">
        <v>5042</v>
      </c>
      <c r="B5048">
        <v>81958</v>
      </c>
      <c r="C5048" t="s">
        <v>10698</v>
      </c>
      <c r="D5048" t="s">
        <v>76</v>
      </c>
      <c r="E5048" t="s">
        <v>10699</v>
      </c>
      <c r="F5048" t="str">
        <f>"00416204"</f>
        <v>00416204</v>
      </c>
      <c r="G5048" t="s">
        <v>4415</v>
      </c>
      <c r="H5048" t="s">
        <v>535</v>
      </c>
      <c r="I5048">
        <v>1664</v>
      </c>
      <c r="J5048" t="s">
        <v>21</v>
      </c>
      <c r="K5048">
        <v>0</v>
      </c>
      <c r="M5048">
        <v>1428</v>
      </c>
    </row>
    <row r="5049" spans="1:13">
      <c r="A5049">
        <v>5043</v>
      </c>
      <c r="B5049">
        <v>99697</v>
      </c>
      <c r="C5049" t="s">
        <v>10700</v>
      </c>
      <c r="D5049" t="s">
        <v>209</v>
      </c>
      <c r="E5049" t="s">
        <v>10701</v>
      </c>
      <c r="F5049" t="str">
        <f>"00187136"</f>
        <v>00187136</v>
      </c>
      <c r="G5049" t="s">
        <v>230</v>
      </c>
      <c r="H5049" t="s">
        <v>20</v>
      </c>
      <c r="I5049">
        <v>1545</v>
      </c>
      <c r="J5049" t="s">
        <v>21</v>
      </c>
      <c r="K5049">
        <v>0</v>
      </c>
      <c r="L5049" t="s">
        <v>83</v>
      </c>
      <c r="M5049">
        <v>1358</v>
      </c>
    </row>
    <row r="5050" spans="1:13">
      <c r="A5050">
        <v>5044</v>
      </c>
      <c r="B5050">
        <v>76152</v>
      </c>
      <c r="C5050" t="s">
        <v>10702</v>
      </c>
      <c r="D5050" t="s">
        <v>249</v>
      </c>
      <c r="E5050" t="s">
        <v>10703</v>
      </c>
      <c r="F5050" t="str">
        <f>"00378660"</f>
        <v>00378660</v>
      </c>
      <c r="G5050" t="s">
        <v>3237</v>
      </c>
      <c r="H5050" t="s">
        <v>20</v>
      </c>
      <c r="I5050">
        <v>1515</v>
      </c>
      <c r="J5050" t="s">
        <v>21</v>
      </c>
      <c r="K5050">
        <v>6</v>
      </c>
      <c r="L5050" t="s">
        <v>35</v>
      </c>
      <c r="M5050">
        <v>808</v>
      </c>
    </row>
    <row r="5051" spans="1:13">
      <c r="A5051">
        <v>5045</v>
      </c>
      <c r="B5051">
        <v>100049</v>
      </c>
      <c r="C5051" t="s">
        <v>10704</v>
      </c>
      <c r="D5051" t="s">
        <v>80</v>
      </c>
      <c r="E5051" t="s">
        <v>10705</v>
      </c>
      <c r="F5051" t="str">
        <f>"00384283"</f>
        <v>00384283</v>
      </c>
      <c r="G5051" t="s">
        <v>600</v>
      </c>
      <c r="H5051" t="s">
        <v>366</v>
      </c>
      <c r="I5051">
        <v>1694</v>
      </c>
      <c r="J5051" t="s">
        <v>21</v>
      </c>
      <c r="K5051">
        <v>0</v>
      </c>
      <c r="M5051">
        <v>1338</v>
      </c>
    </row>
    <row r="5052" spans="1:13">
      <c r="A5052">
        <v>5046</v>
      </c>
      <c r="B5052">
        <v>86089</v>
      </c>
      <c r="C5052" t="s">
        <v>10706</v>
      </c>
      <c r="D5052" t="s">
        <v>4097</v>
      </c>
      <c r="E5052" t="s">
        <v>10707</v>
      </c>
      <c r="F5052" t="str">
        <f>"00395349"</f>
        <v>00395349</v>
      </c>
      <c r="G5052" t="s">
        <v>107</v>
      </c>
      <c r="H5052" t="s">
        <v>20</v>
      </c>
      <c r="I5052">
        <v>1472</v>
      </c>
      <c r="J5052" t="s">
        <v>21</v>
      </c>
      <c r="K5052">
        <v>0</v>
      </c>
      <c r="L5052" t="s">
        <v>88</v>
      </c>
      <c r="M5052">
        <v>600</v>
      </c>
    </row>
    <row r="5053" spans="1:13">
      <c r="A5053">
        <v>5047</v>
      </c>
      <c r="B5053">
        <v>50250</v>
      </c>
      <c r="C5053" t="s">
        <v>10708</v>
      </c>
      <c r="D5053" t="s">
        <v>80</v>
      </c>
      <c r="E5053" t="s">
        <v>10709</v>
      </c>
      <c r="F5053" t="str">
        <f>"00372578"</f>
        <v>00372578</v>
      </c>
      <c r="G5053" t="s">
        <v>3237</v>
      </c>
      <c r="H5053" t="s">
        <v>20</v>
      </c>
      <c r="I5053">
        <v>1515</v>
      </c>
      <c r="J5053" t="s">
        <v>21</v>
      </c>
      <c r="K5053">
        <v>6</v>
      </c>
      <c r="M5053">
        <v>1388</v>
      </c>
    </row>
    <row r="5054" spans="1:13">
      <c r="A5054">
        <v>5048</v>
      </c>
      <c r="B5054">
        <v>73646</v>
      </c>
      <c r="C5054" t="s">
        <v>10710</v>
      </c>
      <c r="D5054" t="s">
        <v>90</v>
      </c>
      <c r="E5054" t="s">
        <v>10711</v>
      </c>
      <c r="F5054" t="str">
        <f>"00365692"</f>
        <v>00365692</v>
      </c>
      <c r="G5054" t="s">
        <v>2440</v>
      </c>
      <c r="H5054" t="s">
        <v>20</v>
      </c>
      <c r="I5054">
        <v>1567</v>
      </c>
      <c r="J5054" t="s">
        <v>21</v>
      </c>
      <c r="K5054">
        <v>0</v>
      </c>
      <c r="M5054">
        <v>1698</v>
      </c>
    </row>
    <row r="5055" spans="1:13">
      <c r="A5055">
        <v>5049</v>
      </c>
      <c r="B5055">
        <v>86052</v>
      </c>
      <c r="C5055" t="s">
        <v>10712</v>
      </c>
      <c r="D5055" t="s">
        <v>76</v>
      </c>
      <c r="E5055" t="s">
        <v>10713</v>
      </c>
      <c r="F5055" t="str">
        <f>"00397182"</f>
        <v>00397182</v>
      </c>
      <c r="G5055" t="s">
        <v>107</v>
      </c>
      <c r="H5055" t="s">
        <v>20</v>
      </c>
      <c r="I5055">
        <v>1472</v>
      </c>
      <c r="J5055" t="s">
        <v>21</v>
      </c>
      <c r="K5055">
        <v>0</v>
      </c>
      <c r="M5055">
        <v>1488</v>
      </c>
    </row>
    <row r="5056" spans="1:13">
      <c r="A5056">
        <v>5050</v>
      </c>
      <c r="B5056">
        <v>104783</v>
      </c>
      <c r="C5056" t="s">
        <v>10714</v>
      </c>
      <c r="D5056" t="s">
        <v>1489</v>
      </c>
      <c r="E5056" t="s">
        <v>10715</v>
      </c>
      <c r="F5056" t="str">
        <f>"00229509"</f>
        <v>00229509</v>
      </c>
      <c r="G5056" t="s">
        <v>96</v>
      </c>
      <c r="H5056" t="s">
        <v>20</v>
      </c>
      <c r="I5056">
        <v>1474</v>
      </c>
      <c r="J5056" t="s">
        <v>21</v>
      </c>
      <c r="K5056">
        <v>0</v>
      </c>
      <c r="L5056" t="s">
        <v>35</v>
      </c>
      <c r="M5056">
        <v>1000</v>
      </c>
    </row>
    <row r="5057" spans="1:13">
      <c r="A5057">
        <v>5051</v>
      </c>
      <c r="B5057">
        <v>91961</v>
      </c>
      <c r="C5057" t="s">
        <v>10716</v>
      </c>
      <c r="D5057" t="s">
        <v>2623</v>
      </c>
      <c r="E5057" t="s">
        <v>10717</v>
      </c>
      <c r="F5057" t="str">
        <f>"00380978"</f>
        <v>00380978</v>
      </c>
      <c r="G5057" t="s">
        <v>170</v>
      </c>
      <c r="H5057" t="s">
        <v>20</v>
      </c>
      <c r="I5057">
        <v>1412</v>
      </c>
      <c r="J5057" t="s">
        <v>21</v>
      </c>
      <c r="K5057">
        <v>0</v>
      </c>
      <c r="M5057">
        <v>1679</v>
      </c>
    </row>
    <row r="5058" spans="1:13">
      <c r="A5058">
        <v>5052</v>
      </c>
      <c r="B5058">
        <v>90360</v>
      </c>
      <c r="C5058" t="s">
        <v>10718</v>
      </c>
      <c r="D5058" t="s">
        <v>73</v>
      </c>
      <c r="E5058" t="s">
        <v>10719</v>
      </c>
      <c r="F5058" t="str">
        <f>"00039676"</f>
        <v>00039676</v>
      </c>
      <c r="G5058" t="s">
        <v>111</v>
      </c>
      <c r="H5058" t="s">
        <v>48</v>
      </c>
      <c r="I5058">
        <v>1620</v>
      </c>
      <c r="J5058" t="s">
        <v>21</v>
      </c>
      <c r="K5058">
        <v>0</v>
      </c>
      <c r="L5058" t="s">
        <v>35</v>
      </c>
      <c r="M5058">
        <v>856</v>
      </c>
    </row>
    <row r="5059" spans="1:13">
      <c r="A5059">
        <v>5053</v>
      </c>
      <c r="B5059">
        <v>56080</v>
      </c>
      <c r="C5059" t="s">
        <v>10720</v>
      </c>
      <c r="D5059" t="s">
        <v>205</v>
      </c>
      <c r="E5059" t="s">
        <v>10721</v>
      </c>
      <c r="F5059" t="str">
        <f>"00283136"</f>
        <v>00283136</v>
      </c>
      <c r="G5059" t="s">
        <v>1753</v>
      </c>
      <c r="H5059" t="s">
        <v>20</v>
      </c>
      <c r="I5059">
        <v>1544</v>
      </c>
      <c r="J5059" t="s">
        <v>21</v>
      </c>
      <c r="K5059">
        <v>0</v>
      </c>
      <c r="L5059" t="s">
        <v>112</v>
      </c>
      <c r="M5059">
        <v>900</v>
      </c>
    </row>
    <row r="5060" spans="1:13">
      <c r="A5060">
        <v>5054</v>
      </c>
      <c r="B5060">
        <v>64533</v>
      </c>
      <c r="C5060" t="s">
        <v>10722</v>
      </c>
      <c r="D5060" t="s">
        <v>180</v>
      </c>
      <c r="E5060" t="s">
        <v>10723</v>
      </c>
      <c r="F5060" t="str">
        <f>"00256213"</f>
        <v>00256213</v>
      </c>
      <c r="G5060" t="s">
        <v>92</v>
      </c>
      <c r="H5060" t="s">
        <v>20</v>
      </c>
      <c r="I5060">
        <v>1425</v>
      </c>
      <c r="J5060" t="s">
        <v>21</v>
      </c>
      <c r="K5060">
        <v>0</v>
      </c>
      <c r="M5060">
        <v>1688</v>
      </c>
    </row>
    <row r="5061" spans="1:13">
      <c r="A5061">
        <v>5055</v>
      </c>
      <c r="B5061">
        <v>108666</v>
      </c>
      <c r="C5061" t="s">
        <v>10724</v>
      </c>
      <c r="D5061" t="s">
        <v>80</v>
      </c>
      <c r="E5061" t="s">
        <v>10725</v>
      </c>
      <c r="F5061" t="str">
        <f>"00417493"</f>
        <v>00417493</v>
      </c>
      <c r="G5061" t="s">
        <v>2440</v>
      </c>
      <c r="H5061" t="s">
        <v>20</v>
      </c>
      <c r="I5061">
        <v>1567</v>
      </c>
      <c r="J5061" t="s">
        <v>21</v>
      </c>
      <c r="K5061">
        <v>0</v>
      </c>
      <c r="M5061">
        <v>1576</v>
      </c>
    </row>
    <row r="5062" spans="1:13">
      <c r="A5062">
        <v>5056</v>
      </c>
      <c r="B5062">
        <v>85302</v>
      </c>
      <c r="C5062" t="s">
        <v>10726</v>
      </c>
      <c r="D5062" t="s">
        <v>76</v>
      </c>
      <c r="E5062" t="s">
        <v>10727</v>
      </c>
      <c r="F5062" t="str">
        <f>"201511010079"</f>
        <v>201511010079</v>
      </c>
      <c r="G5062" t="s">
        <v>1239</v>
      </c>
      <c r="H5062" t="s">
        <v>1240</v>
      </c>
      <c r="I5062">
        <v>1368</v>
      </c>
      <c r="J5062" t="s">
        <v>21</v>
      </c>
      <c r="K5062">
        <v>0</v>
      </c>
      <c r="M5062">
        <v>1488</v>
      </c>
    </row>
    <row r="5063" spans="1:13">
      <c r="A5063">
        <v>5057</v>
      </c>
      <c r="B5063">
        <v>109538</v>
      </c>
      <c r="C5063" t="s">
        <v>10728</v>
      </c>
      <c r="D5063" t="s">
        <v>65</v>
      </c>
      <c r="E5063" t="s">
        <v>10729</v>
      </c>
      <c r="F5063" t="str">
        <f>"00415665"</f>
        <v>00415665</v>
      </c>
      <c r="G5063" t="s">
        <v>3702</v>
      </c>
      <c r="H5063" t="s">
        <v>20</v>
      </c>
      <c r="I5063">
        <v>1501</v>
      </c>
      <c r="J5063" t="s">
        <v>21</v>
      </c>
      <c r="K5063">
        <v>6</v>
      </c>
      <c r="M5063">
        <v>1348</v>
      </c>
    </row>
    <row r="5064" spans="1:13">
      <c r="A5064">
        <v>5058</v>
      </c>
      <c r="B5064">
        <v>78950</v>
      </c>
      <c r="C5064" t="s">
        <v>10730</v>
      </c>
      <c r="D5064" t="s">
        <v>76</v>
      </c>
      <c r="E5064" t="s">
        <v>10731</v>
      </c>
      <c r="F5064" t="str">
        <f>"00383699"</f>
        <v>00383699</v>
      </c>
      <c r="G5064" t="s">
        <v>600</v>
      </c>
      <c r="H5064" t="s">
        <v>234</v>
      </c>
      <c r="I5064">
        <v>1337</v>
      </c>
      <c r="J5064" t="s">
        <v>21</v>
      </c>
      <c r="K5064">
        <v>0</v>
      </c>
      <c r="M5064">
        <v>1498</v>
      </c>
    </row>
    <row r="5065" spans="1:13">
      <c r="A5065">
        <v>5059</v>
      </c>
      <c r="B5065">
        <v>88982</v>
      </c>
      <c r="C5065" t="s">
        <v>10732</v>
      </c>
      <c r="D5065" t="s">
        <v>76</v>
      </c>
      <c r="E5065" t="s">
        <v>10733</v>
      </c>
      <c r="F5065" t="str">
        <f>"00381432"</f>
        <v>00381432</v>
      </c>
      <c r="G5065" t="s">
        <v>691</v>
      </c>
      <c r="H5065" t="s">
        <v>241</v>
      </c>
      <c r="I5065">
        <v>1360</v>
      </c>
      <c r="J5065" t="s">
        <v>21</v>
      </c>
      <c r="K5065">
        <v>0</v>
      </c>
      <c r="L5065" t="s">
        <v>35</v>
      </c>
      <c r="M5065">
        <v>958</v>
      </c>
    </row>
    <row r="5066" spans="1:13">
      <c r="A5066">
        <v>5060</v>
      </c>
      <c r="B5066">
        <v>91027</v>
      </c>
      <c r="C5066" t="s">
        <v>10734</v>
      </c>
      <c r="D5066" t="s">
        <v>391</v>
      </c>
      <c r="E5066" t="s">
        <v>10735</v>
      </c>
      <c r="F5066" t="str">
        <f>"00243417"</f>
        <v>00243417</v>
      </c>
      <c r="G5066" t="s">
        <v>278</v>
      </c>
      <c r="H5066" t="s">
        <v>1499</v>
      </c>
      <c r="I5066">
        <v>1597</v>
      </c>
      <c r="J5066" t="s">
        <v>21</v>
      </c>
      <c r="K5066">
        <v>0</v>
      </c>
      <c r="L5066" t="s">
        <v>83</v>
      </c>
      <c r="M5066">
        <v>1328</v>
      </c>
    </row>
    <row r="5067" spans="1:13">
      <c r="A5067">
        <v>5061</v>
      </c>
      <c r="B5067">
        <v>64981</v>
      </c>
      <c r="C5067" t="s">
        <v>10736</v>
      </c>
      <c r="D5067" t="s">
        <v>249</v>
      </c>
      <c r="E5067" t="s">
        <v>10737</v>
      </c>
      <c r="F5067" t="str">
        <f>"00266199"</f>
        <v>00266199</v>
      </c>
      <c r="G5067" t="s">
        <v>107</v>
      </c>
      <c r="H5067" t="s">
        <v>20</v>
      </c>
      <c r="I5067">
        <v>1472</v>
      </c>
      <c r="J5067" t="s">
        <v>21</v>
      </c>
      <c r="K5067">
        <v>0</v>
      </c>
      <c r="M5067">
        <v>1528</v>
      </c>
    </row>
    <row r="5068" spans="1:13">
      <c r="A5068">
        <v>5062</v>
      </c>
      <c r="B5068">
        <v>67519</v>
      </c>
      <c r="C5068" t="s">
        <v>10738</v>
      </c>
      <c r="D5068" t="s">
        <v>76</v>
      </c>
      <c r="E5068" t="s">
        <v>10739</v>
      </c>
      <c r="F5068" t="str">
        <f>"00403788"</f>
        <v>00403788</v>
      </c>
      <c r="G5068" t="s">
        <v>107</v>
      </c>
      <c r="H5068" t="s">
        <v>20</v>
      </c>
      <c r="I5068">
        <v>1472</v>
      </c>
      <c r="J5068" t="s">
        <v>21</v>
      </c>
      <c r="K5068">
        <v>0</v>
      </c>
      <c r="L5068" t="s">
        <v>35</v>
      </c>
      <c r="M5068">
        <v>908</v>
      </c>
    </row>
    <row r="5069" spans="1:13">
      <c r="A5069">
        <v>5063</v>
      </c>
      <c r="B5069">
        <v>90980</v>
      </c>
      <c r="C5069" t="s">
        <v>10740</v>
      </c>
      <c r="D5069" t="s">
        <v>180</v>
      </c>
      <c r="E5069" t="s">
        <v>10741</v>
      </c>
      <c r="F5069" t="str">
        <f>"00398605"</f>
        <v>00398605</v>
      </c>
      <c r="G5069" t="s">
        <v>1890</v>
      </c>
      <c r="H5069" t="s">
        <v>3499</v>
      </c>
      <c r="I5069">
        <v>1672</v>
      </c>
      <c r="J5069" t="s">
        <v>21</v>
      </c>
      <c r="K5069">
        <v>0</v>
      </c>
      <c r="L5069" t="s">
        <v>35</v>
      </c>
      <c r="M5069">
        <v>958</v>
      </c>
    </row>
    <row r="5070" spans="1:13">
      <c r="A5070">
        <v>5064</v>
      </c>
      <c r="B5070">
        <v>109117</v>
      </c>
      <c r="C5070" t="s">
        <v>10742</v>
      </c>
      <c r="D5070" t="s">
        <v>373</v>
      </c>
      <c r="E5070" t="s">
        <v>10743</v>
      </c>
      <c r="F5070" t="str">
        <f>"00391383"</f>
        <v>00391383</v>
      </c>
      <c r="G5070" t="s">
        <v>107</v>
      </c>
      <c r="H5070" t="s">
        <v>20</v>
      </c>
      <c r="I5070">
        <v>1472</v>
      </c>
      <c r="J5070" t="s">
        <v>21</v>
      </c>
      <c r="K5070">
        <v>0</v>
      </c>
      <c r="L5070" t="s">
        <v>88</v>
      </c>
      <c r="M5070">
        <v>675</v>
      </c>
    </row>
    <row r="5071" spans="1:13">
      <c r="A5071">
        <v>5065</v>
      </c>
      <c r="B5071">
        <v>76553</v>
      </c>
      <c r="C5071" t="s">
        <v>10744</v>
      </c>
      <c r="D5071" t="s">
        <v>495</v>
      </c>
      <c r="E5071" t="s">
        <v>10745</v>
      </c>
      <c r="F5071" t="str">
        <f>"00346554"</f>
        <v>00346554</v>
      </c>
      <c r="G5071" t="s">
        <v>375</v>
      </c>
      <c r="H5071" t="s">
        <v>20</v>
      </c>
      <c r="I5071">
        <v>1516</v>
      </c>
      <c r="J5071" t="s">
        <v>21</v>
      </c>
      <c r="K5071">
        <v>0</v>
      </c>
      <c r="M5071">
        <v>1455</v>
      </c>
    </row>
    <row r="5072" spans="1:13">
      <c r="A5072">
        <v>5066</v>
      </c>
      <c r="B5072">
        <v>96329</v>
      </c>
      <c r="C5072" t="s">
        <v>10746</v>
      </c>
      <c r="D5072" t="s">
        <v>10747</v>
      </c>
      <c r="E5072" t="s">
        <v>10748</v>
      </c>
      <c r="F5072" t="str">
        <f>"00308370"</f>
        <v>00308370</v>
      </c>
      <c r="G5072" t="s">
        <v>2305</v>
      </c>
      <c r="H5072" t="s">
        <v>2306</v>
      </c>
      <c r="I5072">
        <v>1369</v>
      </c>
      <c r="J5072" t="s">
        <v>21</v>
      </c>
      <c r="K5072">
        <v>0</v>
      </c>
      <c r="M5072">
        <v>1598</v>
      </c>
    </row>
    <row r="5073" spans="1:13">
      <c r="A5073">
        <v>5067</v>
      </c>
      <c r="B5073">
        <v>58258</v>
      </c>
      <c r="C5073" t="s">
        <v>10749</v>
      </c>
      <c r="D5073" t="s">
        <v>180</v>
      </c>
      <c r="E5073" t="s">
        <v>10750</v>
      </c>
      <c r="F5073" t="str">
        <f>"00358305"</f>
        <v>00358305</v>
      </c>
      <c r="G5073" t="s">
        <v>47</v>
      </c>
      <c r="H5073" t="s">
        <v>48</v>
      </c>
      <c r="I5073">
        <v>1623</v>
      </c>
      <c r="J5073" t="s">
        <v>21</v>
      </c>
      <c r="K5073">
        <v>0</v>
      </c>
      <c r="L5073" t="s">
        <v>59</v>
      </c>
      <c r="M5073">
        <v>941</v>
      </c>
    </row>
    <row r="5074" spans="1:13">
      <c r="A5074">
        <v>5068</v>
      </c>
      <c r="B5074">
        <v>90977</v>
      </c>
      <c r="C5074" t="s">
        <v>10751</v>
      </c>
      <c r="D5074" t="s">
        <v>90</v>
      </c>
      <c r="E5074" t="s">
        <v>10752</v>
      </c>
      <c r="F5074" t="str">
        <f>"00387452"</f>
        <v>00387452</v>
      </c>
      <c r="G5074" t="s">
        <v>92</v>
      </c>
      <c r="H5074" t="s">
        <v>20</v>
      </c>
      <c r="I5074">
        <v>1425</v>
      </c>
      <c r="J5074" t="s">
        <v>21</v>
      </c>
      <c r="K5074">
        <v>0</v>
      </c>
      <c r="L5074" t="s">
        <v>59</v>
      </c>
      <c r="M5074">
        <v>1268</v>
      </c>
    </row>
    <row r="5075" spans="1:13">
      <c r="A5075">
        <v>5069</v>
      </c>
      <c r="B5075">
        <v>105687</v>
      </c>
      <c r="C5075" t="s">
        <v>10753</v>
      </c>
      <c r="D5075" t="s">
        <v>76</v>
      </c>
      <c r="E5075" t="s">
        <v>10754</v>
      </c>
      <c r="F5075" t="str">
        <f>"00386612"</f>
        <v>00386612</v>
      </c>
      <c r="G5075" t="s">
        <v>92</v>
      </c>
      <c r="H5075" t="s">
        <v>20</v>
      </c>
      <c r="I5075">
        <v>1425</v>
      </c>
      <c r="J5075" t="s">
        <v>21</v>
      </c>
      <c r="K5075">
        <v>0</v>
      </c>
      <c r="L5075" t="s">
        <v>88</v>
      </c>
      <c r="M5075">
        <v>808</v>
      </c>
    </row>
    <row r="5076" spans="1:13">
      <c r="A5076">
        <v>5070</v>
      </c>
      <c r="B5076">
        <v>79151</v>
      </c>
      <c r="C5076" t="s">
        <v>10755</v>
      </c>
      <c r="D5076" t="s">
        <v>105</v>
      </c>
      <c r="E5076" t="s">
        <v>10756</v>
      </c>
      <c r="F5076" t="str">
        <f>"00342932"</f>
        <v>00342932</v>
      </c>
      <c r="G5076" t="s">
        <v>2817</v>
      </c>
      <c r="H5076" t="s">
        <v>20</v>
      </c>
      <c r="I5076">
        <v>1493</v>
      </c>
      <c r="J5076" t="s">
        <v>21</v>
      </c>
      <c r="K5076">
        <v>0</v>
      </c>
      <c r="L5076" t="s">
        <v>35</v>
      </c>
      <c r="M5076">
        <v>908</v>
      </c>
    </row>
    <row r="5077" spans="1:13">
      <c r="A5077">
        <v>5071</v>
      </c>
      <c r="B5077">
        <v>99159</v>
      </c>
      <c r="C5077" t="s">
        <v>10757</v>
      </c>
      <c r="D5077" t="s">
        <v>243</v>
      </c>
      <c r="E5077" t="s">
        <v>10758</v>
      </c>
      <c r="F5077" t="str">
        <f>"00394098"</f>
        <v>00394098</v>
      </c>
      <c r="G5077" t="s">
        <v>52</v>
      </c>
      <c r="H5077" t="s">
        <v>20</v>
      </c>
      <c r="I5077">
        <v>1503</v>
      </c>
      <c r="J5077" t="s">
        <v>21</v>
      </c>
      <c r="K5077">
        <v>0</v>
      </c>
      <c r="M5077">
        <v>1328</v>
      </c>
    </row>
    <row r="5078" spans="1:13">
      <c r="A5078">
        <v>5072</v>
      </c>
      <c r="B5078">
        <v>93944</v>
      </c>
      <c r="C5078" t="s">
        <v>10759</v>
      </c>
      <c r="D5078" t="s">
        <v>1249</v>
      </c>
      <c r="E5078" t="s">
        <v>10760</v>
      </c>
      <c r="F5078" t="str">
        <f>"00083779"</f>
        <v>00083779</v>
      </c>
      <c r="G5078" t="s">
        <v>87</v>
      </c>
      <c r="H5078" t="s">
        <v>1671</v>
      </c>
      <c r="I5078">
        <v>1716</v>
      </c>
      <c r="J5078" t="s">
        <v>21</v>
      </c>
      <c r="K5078">
        <v>0</v>
      </c>
      <c r="M5078">
        <v>1592</v>
      </c>
    </row>
    <row r="5079" spans="1:13">
      <c r="A5079">
        <v>5073</v>
      </c>
      <c r="B5079">
        <v>56685</v>
      </c>
      <c r="C5079" t="s">
        <v>10761</v>
      </c>
      <c r="D5079" t="s">
        <v>76</v>
      </c>
      <c r="E5079" t="s">
        <v>10762</v>
      </c>
      <c r="F5079" t="str">
        <f>"00361317"</f>
        <v>00361317</v>
      </c>
      <c r="G5079" t="s">
        <v>1107</v>
      </c>
      <c r="H5079" t="s">
        <v>48</v>
      </c>
      <c r="I5079">
        <v>1626</v>
      </c>
      <c r="J5079" t="s">
        <v>21</v>
      </c>
      <c r="K5079">
        <v>0</v>
      </c>
      <c r="M5079">
        <v>1328</v>
      </c>
    </row>
    <row r="5080" spans="1:13">
      <c r="A5080">
        <v>5074</v>
      </c>
      <c r="B5080">
        <v>71962</v>
      </c>
      <c r="C5080" t="s">
        <v>10763</v>
      </c>
      <c r="D5080" t="s">
        <v>249</v>
      </c>
      <c r="E5080" t="s">
        <v>10764</v>
      </c>
      <c r="F5080" t="str">
        <f>"00394028"</f>
        <v>00394028</v>
      </c>
      <c r="G5080" t="s">
        <v>150</v>
      </c>
      <c r="H5080" t="s">
        <v>151</v>
      </c>
      <c r="I5080">
        <v>1699</v>
      </c>
      <c r="J5080" t="s">
        <v>21</v>
      </c>
      <c r="K5080">
        <v>0</v>
      </c>
      <c r="M5080">
        <v>1428</v>
      </c>
    </row>
    <row r="5081" spans="1:13">
      <c r="A5081">
        <v>5075</v>
      </c>
      <c r="B5081">
        <v>64241</v>
      </c>
      <c r="C5081" t="s">
        <v>10765</v>
      </c>
      <c r="D5081" t="s">
        <v>238</v>
      </c>
      <c r="E5081" t="s">
        <v>10766</v>
      </c>
      <c r="F5081" t="str">
        <f>"201511017815"</f>
        <v>201511017815</v>
      </c>
      <c r="G5081" t="s">
        <v>111</v>
      </c>
      <c r="H5081" t="s">
        <v>48</v>
      </c>
      <c r="I5081">
        <v>1620</v>
      </c>
      <c r="J5081" t="s">
        <v>21</v>
      </c>
      <c r="K5081">
        <v>0</v>
      </c>
      <c r="M5081">
        <v>1498</v>
      </c>
    </row>
    <row r="5082" spans="1:13">
      <c r="A5082">
        <v>5076</v>
      </c>
      <c r="B5082">
        <v>52046</v>
      </c>
      <c r="C5082" t="s">
        <v>10767</v>
      </c>
      <c r="D5082" t="s">
        <v>80</v>
      </c>
      <c r="E5082" t="s">
        <v>10768</v>
      </c>
      <c r="F5082" t="str">
        <f>"00355527"</f>
        <v>00355527</v>
      </c>
      <c r="G5082" t="s">
        <v>82</v>
      </c>
      <c r="H5082" t="s">
        <v>20</v>
      </c>
      <c r="I5082">
        <v>1475</v>
      </c>
      <c r="J5082" t="s">
        <v>21</v>
      </c>
      <c r="K5082">
        <v>0</v>
      </c>
      <c r="L5082" t="s">
        <v>88</v>
      </c>
      <c r="M5082">
        <v>535</v>
      </c>
    </row>
    <row r="5083" spans="1:13">
      <c r="A5083">
        <v>5077</v>
      </c>
      <c r="B5083">
        <v>81775</v>
      </c>
      <c r="C5083" t="s">
        <v>10769</v>
      </c>
      <c r="D5083" t="s">
        <v>98</v>
      </c>
      <c r="E5083" t="s">
        <v>10770</v>
      </c>
      <c r="F5083" t="str">
        <f>"00391344"</f>
        <v>00391344</v>
      </c>
      <c r="G5083" t="s">
        <v>593</v>
      </c>
      <c r="H5083" t="s">
        <v>20</v>
      </c>
      <c r="I5083">
        <v>1444</v>
      </c>
      <c r="J5083" t="s">
        <v>21</v>
      </c>
      <c r="K5083">
        <v>0</v>
      </c>
      <c r="M5083">
        <v>1569</v>
      </c>
    </row>
    <row r="5084" spans="1:13">
      <c r="A5084">
        <v>5078</v>
      </c>
      <c r="B5084">
        <v>102959</v>
      </c>
      <c r="C5084" t="s">
        <v>10771</v>
      </c>
      <c r="D5084" t="s">
        <v>334</v>
      </c>
      <c r="E5084" t="s">
        <v>10772</v>
      </c>
      <c r="F5084" t="str">
        <f>"00109545"</f>
        <v>00109545</v>
      </c>
      <c r="G5084" t="s">
        <v>47</v>
      </c>
      <c r="H5084" t="s">
        <v>48</v>
      </c>
      <c r="I5084">
        <v>1623</v>
      </c>
      <c r="J5084" t="s">
        <v>21</v>
      </c>
      <c r="K5084">
        <v>0</v>
      </c>
      <c r="L5084" t="s">
        <v>59</v>
      </c>
      <c r="M5084">
        <v>988</v>
      </c>
    </row>
    <row r="5085" spans="1:13">
      <c r="A5085">
        <v>5079</v>
      </c>
      <c r="B5085">
        <v>108326</v>
      </c>
      <c r="C5085" t="s">
        <v>10773</v>
      </c>
      <c r="D5085" t="s">
        <v>218</v>
      </c>
      <c r="E5085" t="s">
        <v>10774</v>
      </c>
      <c r="F5085" t="str">
        <f>"00398984"</f>
        <v>00398984</v>
      </c>
      <c r="G5085" t="s">
        <v>691</v>
      </c>
      <c r="H5085" t="s">
        <v>241</v>
      </c>
      <c r="I5085">
        <v>1360</v>
      </c>
      <c r="J5085" t="s">
        <v>21</v>
      </c>
      <c r="K5085">
        <v>0</v>
      </c>
      <c r="L5085" t="s">
        <v>59</v>
      </c>
      <c r="M5085">
        <v>1348</v>
      </c>
    </row>
    <row r="5086" spans="1:13">
      <c r="A5086">
        <v>5080</v>
      </c>
      <c r="B5086">
        <v>97166</v>
      </c>
      <c r="C5086" t="s">
        <v>10775</v>
      </c>
      <c r="D5086" t="s">
        <v>213</v>
      </c>
      <c r="E5086" t="s">
        <v>10776</v>
      </c>
      <c r="F5086" t="str">
        <f>"00039711"</f>
        <v>00039711</v>
      </c>
      <c r="G5086" t="s">
        <v>713</v>
      </c>
      <c r="H5086" t="s">
        <v>366</v>
      </c>
      <c r="I5086">
        <v>1690</v>
      </c>
      <c r="J5086" t="s">
        <v>21</v>
      </c>
      <c r="K5086">
        <v>0</v>
      </c>
      <c r="L5086" t="s">
        <v>35</v>
      </c>
      <c r="M5086">
        <v>1100</v>
      </c>
    </row>
    <row r="5087" spans="1:13">
      <c r="A5087">
        <v>5081</v>
      </c>
      <c r="B5087">
        <v>62640</v>
      </c>
      <c r="C5087" t="s">
        <v>10777</v>
      </c>
      <c r="D5087" t="s">
        <v>2882</v>
      </c>
      <c r="E5087" t="s">
        <v>10778</v>
      </c>
      <c r="F5087" t="str">
        <f>"00028171"</f>
        <v>00028171</v>
      </c>
      <c r="G5087" t="s">
        <v>856</v>
      </c>
      <c r="H5087" t="s">
        <v>366</v>
      </c>
      <c r="I5087">
        <v>1706</v>
      </c>
      <c r="J5087" t="s">
        <v>21</v>
      </c>
      <c r="K5087">
        <v>0</v>
      </c>
      <c r="L5087" t="s">
        <v>88</v>
      </c>
      <c r="M5087">
        <v>509</v>
      </c>
    </row>
    <row r="5088" spans="1:13">
      <c r="A5088">
        <v>5082</v>
      </c>
      <c r="B5088">
        <v>100483</v>
      </c>
      <c r="C5088" t="s">
        <v>10779</v>
      </c>
      <c r="D5088" t="s">
        <v>209</v>
      </c>
      <c r="E5088" t="s">
        <v>10780</v>
      </c>
      <c r="F5088" t="str">
        <f>"00379400"</f>
        <v>00379400</v>
      </c>
      <c r="G5088" t="s">
        <v>511</v>
      </c>
      <c r="H5088" t="s">
        <v>3640</v>
      </c>
      <c r="I5088">
        <v>1713</v>
      </c>
      <c r="J5088" t="s">
        <v>21</v>
      </c>
      <c r="K5088">
        <v>6</v>
      </c>
      <c r="M5088">
        <v>1238</v>
      </c>
    </row>
    <row r="5089" spans="1:13">
      <c r="A5089">
        <v>5083</v>
      </c>
      <c r="B5089">
        <v>52198</v>
      </c>
      <c r="C5089" t="s">
        <v>10781</v>
      </c>
      <c r="D5089" t="s">
        <v>4518</v>
      </c>
      <c r="E5089" t="s">
        <v>10782</v>
      </c>
      <c r="F5089" t="str">
        <f>"00295362"</f>
        <v>00295362</v>
      </c>
      <c r="G5089" t="s">
        <v>47</v>
      </c>
      <c r="H5089" t="s">
        <v>48</v>
      </c>
      <c r="I5089">
        <v>1623</v>
      </c>
      <c r="J5089" t="s">
        <v>21</v>
      </c>
      <c r="K5089">
        <v>0</v>
      </c>
      <c r="L5089" t="s">
        <v>35</v>
      </c>
      <c r="M5089">
        <v>875</v>
      </c>
    </row>
    <row r="5090" spans="1:13">
      <c r="A5090">
        <v>5084</v>
      </c>
      <c r="B5090">
        <v>52847</v>
      </c>
      <c r="C5090" t="s">
        <v>10783</v>
      </c>
      <c r="D5090" t="s">
        <v>80</v>
      </c>
      <c r="E5090" t="s">
        <v>10784</v>
      </c>
      <c r="F5090" t="str">
        <f>"00359319"</f>
        <v>00359319</v>
      </c>
      <c r="G5090" t="s">
        <v>1556</v>
      </c>
      <c r="H5090" t="s">
        <v>20</v>
      </c>
      <c r="I5090">
        <v>1530</v>
      </c>
      <c r="J5090" t="s">
        <v>21</v>
      </c>
      <c r="K5090">
        <v>0</v>
      </c>
      <c r="L5090" t="s">
        <v>35</v>
      </c>
      <c r="M5090">
        <v>958</v>
      </c>
    </row>
    <row r="5091" spans="1:13">
      <c r="A5091">
        <v>5085</v>
      </c>
      <c r="B5091">
        <v>48107</v>
      </c>
      <c r="C5091" t="s">
        <v>10785</v>
      </c>
      <c r="D5091" t="s">
        <v>391</v>
      </c>
      <c r="E5091" t="s">
        <v>10786</v>
      </c>
      <c r="F5091" t="str">
        <f>"00317733"</f>
        <v>00317733</v>
      </c>
      <c r="G5091" t="s">
        <v>82</v>
      </c>
      <c r="H5091" t="s">
        <v>20</v>
      </c>
      <c r="I5091">
        <v>1475</v>
      </c>
      <c r="J5091" t="s">
        <v>21</v>
      </c>
      <c r="K5091">
        <v>0</v>
      </c>
      <c r="L5091" t="s">
        <v>88</v>
      </c>
      <c r="M5091">
        <v>558</v>
      </c>
    </row>
    <row r="5092" spans="1:13">
      <c r="A5092">
        <v>5086</v>
      </c>
      <c r="B5092">
        <v>100898</v>
      </c>
      <c r="C5092" t="s">
        <v>10787</v>
      </c>
      <c r="D5092" t="s">
        <v>243</v>
      </c>
      <c r="E5092" t="s">
        <v>10788</v>
      </c>
      <c r="F5092" t="str">
        <f>"00397051"</f>
        <v>00397051</v>
      </c>
      <c r="G5092" t="s">
        <v>1753</v>
      </c>
      <c r="H5092" t="s">
        <v>20</v>
      </c>
      <c r="I5092">
        <v>1544</v>
      </c>
      <c r="J5092" t="s">
        <v>21</v>
      </c>
      <c r="K5092">
        <v>0</v>
      </c>
      <c r="L5092" t="s">
        <v>35</v>
      </c>
      <c r="M5092">
        <v>1141</v>
      </c>
    </row>
    <row r="5093" spans="1:13">
      <c r="A5093">
        <v>5087</v>
      </c>
      <c r="B5093">
        <v>75726</v>
      </c>
      <c r="C5093" t="s">
        <v>10789</v>
      </c>
      <c r="D5093" t="s">
        <v>145</v>
      </c>
      <c r="E5093" t="s">
        <v>10790</v>
      </c>
      <c r="F5093" t="str">
        <f>"00398607"</f>
        <v>00398607</v>
      </c>
      <c r="G5093" t="s">
        <v>437</v>
      </c>
      <c r="H5093" t="s">
        <v>20</v>
      </c>
      <c r="I5093">
        <v>1407</v>
      </c>
      <c r="J5093" t="s">
        <v>21</v>
      </c>
      <c r="K5093">
        <v>0</v>
      </c>
      <c r="L5093" t="s">
        <v>35</v>
      </c>
      <c r="M5093">
        <v>1008</v>
      </c>
    </row>
    <row r="5094" spans="1:13">
      <c r="A5094">
        <v>5088</v>
      </c>
      <c r="B5094">
        <v>105359</v>
      </c>
      <c r="C5094" t="s">
        <v>10791</v>
      </c>
      <c r="D5094" t="s">
        <v>80</v>
      </c>
      <c r="E5094" t="s">
        <v>10792</v>
      </c>
      <c r="F5094" t="str">
        <f>"201512000658"</f>
        <v>201512000658</v>
      </c>
      <c r="G5094" t="s">
        <v>47</v>
      </c>
      <c r="H5094" t="s">
        <v>48</v>
      </c>
      <c r="I5094">
        <v>1623</v>
      </c>
      <c r="J5094" t="s">
        <v>21</v>
      </c>
      <c r="K5094">
        <v>0</v>
      </c>
      <c r="M5094">
        <v>1438</v>
      </c>
    </row>
    <row r="5095" spans="1:13">
      <c r="A5095">
        <v>5089</v>
      </c>
      <c r="B5095">
        <v>62996</v>
      </c>
      <c r="C5095" t="s">
        <v>10793</v>
      </c>
      <c r="D5095" t="s">
        <v>529</v>
      </c>
      <c r="E5095" t="s">
        <v>10794</v>
      </c>
      <c r="F5095" t="str">
        <f>"00248220"</f>
        <v>00248220</v>
      </c>
      <c r="G5095" t="s">
        <v>38</v>
      </c>
      <c r="H5095" t="s">
        <v>119</v>
      </c>
      <c r="I5095">
        <v>1674</v>
      </c>
      <c r="J5095" t="s">
        <v>21</v>
      </c>
      <c r="K5095">
        <v>6</v>
      </c>
      <c r="M5095">
        <v>1188</v>
      </c>
    </row>
    <row r="5096" spans="1:13">
      <c r="A5096">
        <v>5090</v>
      </c>
      <c r="B5096">
        <v>51998</v>
      </c>
      <c r="C5096" t="s">
        <v>10795</v>
      </c>
      <c r="D5096" t="s">
        <v>10796</v>
      </c>
      <c r="E5096" t="s">
        <v>10797</v>
      </c>
      <c r="F5096" t="str">
        <f>"201010000035"</f>
        <v>201010000035</v>
      </c>
      <c r="G5096" t="s">
        <v>150</v>
      </c>
      <c r="H5096" t="s">
        <v>151</v>
      </c>
      <c r="I5096">
        <v>1699</v>
      </c>
      <c r="J5096" t="s">
        <v>21</v>
      </c>
      <c r="K5096">
        <v>0</v>
      </c>
      <c r="L5096" t="s">
        <v>35</v>
      </c>
      <c r="M5096">
        <v>900</v>
      </c>
    </row>
    <row r="5097" spans="1:13">
      <c r="A5097">
        <v>5091</v>
      </c>
      <c r="B5097">
        <v>81722</v>
      </c>
      <c r="C5097" t="s">
        <v>10798</v>
      </c>
      <c r="D5097" t="s">
        <v>105</v>
      </c>
      <c r="E5097" t="s">
        <v>10799</v>
      </c>
      <c r="F5097" t="str">
        <f>"00373631"</f>
        <v>00373631</v>
      </c>
      <c r="G5097" t="s">
        <v>2072</v>
      </c>
      <c r="H5097" t="s">
        <v>20</v>
      </c>
      <c r="I5097">
        <v>1459</v>
      </c>
      <c r="J5097" t="s">
        <v>21</v>
      </c>
      <c r="K5097">
        <v>0</v>
      </c>
      <c r="L5097" t="s">
        <v>35</v>
      </c>
      <c r="M5097">
        <v>1300</v>
      </c>
    </row>
    <row r="5098" spans="1:13">
      <c r="A5098">
        <v>5092</v>
      </c>
      <c r="B5098">
        <v>106741</v>
      </c>
      <c r="C5098" t="s">
        <v>10800</v>
      </c>
      <c r="D5098" t="s">
        <v>76</v>
      </c>
      <c r="E5098" t="s">
        <v>10801</v>
      </c>
      <c r="F5098" t="str">
        <f>"00395113"</f>
        <v>00395113</v>
      </c>
      <c r="G5098" t="s">
        <v>593</v>
      </c>
      <c r="H5098" t="s">
        <v>20</v>
      </c>
      <c r="I5098">
        <v>1444</v>
      </c>
      <c r="J5098" t="s">
        <v>21</v>
      </c>
      <c r="K5098">
        <v>0</v>
      </c>
      <c r="L5098" t="s">
        <v>35</v>
      </c>
      <c r="M5098">
        <v>1283</v>
      </c>
    </row>
    <row r="5099" spans="1:13">
      <c r="A5099">
        <v>5093</v>
      </c>
      <c r="B5099">
        <v>92925</v>
      </c>
      <c r="C5099" t="s">
        <v>10802</v>
      </c>
      <c r="D5099" t="s">
        <v>391</v>
      </c>
      <c r="E5099" t="s">
        <v>10803</v>
      </c>
      <c r="F5099" t="str">
        <f>"00417714"</f>
        <v>00417714</v>
      </c>
      <c r="G5099" t="s">
        <v>600</v>
      </c>
      <c r="H5099" t="s">
        <v>234</v>
      </c>
      <c r="I5099">
        <v>1337</v>
      </c>
      <c r="J5099" t="s">
        <v>21</v>
      </c>
      <c r="K5099">
        <v>0</v>
      </c>
      <c r="L5099" t="s">
        <v>35</v>
      </c>
      <c r="M5099">
        <v>1085</v>
      </c>
    </row>
    <row r="5100" spans="1:13">
      <c r="A5100">
        <v>5094</v>
      </c>
      <c r="B5100">
        <v>57913</v>
      </c>
      <c r="C5100" t="s">
        <v>10804</v>
      </c>
      <c r="D5100" t="s">
        <v>121</v>
      </c>
      <c r="E5100" t="s">
        <v>10805</v>
      </c>
      <c r="F5100" t="str">
        <f>"00309806"</f>
        <v>00309806</v>
      </c>
      <c r="G5100" t="s">
        <v>365</v>
      </c>
      <c r="H5100" t="s">
        <v>366</v>
      </c>
      <c r="I5100">
        <v>1692</v>
      </c>
      <c r="J5100" t="s">
        <v>21</v>
      </c>
      <c r="K5100">
        <v>0</v>
      </c>
      <c r="L5100" t="s">
        <v>59</v>
      </c>
      <c r="M5100">
        <v>1097</v>
      </c>
    </row>
    <row r="5101" spans="1:13">
      <c r="A5101">
        <v>5095</v>
      </c>
      <c r="B5101">
        <v>93527</v>
      </c>
      <c r="C5101" t="s">
        <v>10806</v>
      </c>
      <c r="D5101" t="s">
        <v>90</v>
      </c>
      <c r="E5101" t="s">
        <v>10807</v>
      </c>
      <c r="F5101" t="str">
        <f>"00369548"</f>
        <v>00369548</v>
      </c>
      <c r="G5101" t="s">
        <v>302</v>
      </c>
      <c r="H5101" t="s">
        <v>20</v>
      </c>
      <c r="I5101">
        <v>1494</v>
      </c>
      <c r="J5101" t="s">
        <v>21</v>
      </c>
      <c r="K5101">
        <v>0</v>
      </c>
      <c r="L5101" t="s">
        <v>35</v>
      </c>
      <c r="M5101">
        <v>1270</v>
      </c>
    </row>
    <row r="5102" spans="1:13">
      <c r="A5102">
        <v>5096</v>
      </c>
      <c r="B5102">
        <v>76038</v>
      </c>
      <c r="C5102" t="s">
        <v>10808</v>
      </c>
      <c r="D5102" t="s">
        <v>145</v>
      </c>
      <c r="E5102" t="s">
        <v>10809</v>
      </c>
      <c r="F5102" t="str">
        <f>"00383900"</f>
        <v>00383900</v>
      </c>
      <c r="G5102" t="s">
        <v>1682</v>
      </c>
      <c r="H5102" t="s">
        <v>241</v>
      </c>
      <c r="I5102">
        <v>1363</v>
      </c>
      <c r="J5102" t="s">
        <v>21</v>
      </c>
      <c r="K5102">
        <v>0</v>
      </c>
      <c r="L5102" t="s">
        <v>83</v>
      </c>
      <c r="M5102">
        <v>1328</v>
      </c>
    </row>
    <row r="5103" spans="1:13">
      <c r="A5103">
        <v>5097</v>
      </c>
      <c r="B5103">
        <v>59380</v>
      </c>
      <c r="C5103" t="s">
        <v>10810</v>
      </c>
      <c r="D5103" t="s">
        <v>2623</v>
      </c>
      <c r="E5103" t="s">
        <v>10811</v>
      </c>
      <c r="F5103" t="str">
        <f>"00351063"</f>
        <v>00351063</v>
      </c>
      <c r="G5103" t="s">
        <v>358</v>
      </c>
      <c r="H5103" t="s">
        <v>3663</v>
      </c>
      <c r="I5103">
        <v>1367</v>
      </c>
      <c r="J5103" t="s">
        <v>21</v>
      </c>
      <c r="K5103">
        <v>0</v>
      </c>
      <c r="M5103">
        <v>1428</v>
      </c>
    </row>
    <row r="5104" spans="1:13">
      <c r="A5104">
        <v>5098</v>
      </c>
      <c r="B5104">
        <v>50442</v>
      </c>
      <c r="C5104" t="s">
        <v>10812</v>
      </c>
      <c r="D5104" t="s">
        <v>145</v>
      </c>
      <c r="E5104" t="s">
        <v>10813</v>
      </c>
      <c r="F5104" t="str">
        <f>"00371933"</f>
        <v>00371933</v>
      </c>
      <c r="G5104" t="s">
        <v>24</v>
      </c>
      <c r="H5104" t="s">
        <v>20</v>
      </c>
      <c r="I5104">
        <v>1577</v>
      </c>
      <c r="J5104" t="s">
        <v>21</v>
      </c>
      <c r="K5104">
        <v>0</v>
      </c>
      <c r="L5104" t="s">
        <v>88</v>
      </c>
      <c r="M5104">
        <v>408</v>
      </c>
    </row>
    <row r="5105" spans="1:13">
      <c r="A5105">
        <v>5099</v>
      </c>
      <c r="B5105">
        <v>102906</v>
      </c>
      <c r="C5105" t="s">
        <v>10814</v>
      </c>
      <c r="D5105" t="s">
        <v>80</v>
      </c>
      <c r="E5105" t="s">
        <v>10815</v>
      </c>
      <c r="F5105" t="str">
        <f>"00400631"</f>
        <v>00400631</v>
      </c>
      <c r="G5105" t="s">
        <v>63</v>
      </c>
      <c r="H5105" t="s">
        <v>20</v>
      </c>
      <c r="I5105">
        <v>1576</v>
      </c>
      <c r="J5105" t="s">
        <v>21</v>
      </c>
      <c r="K5105">
        <v>0</v>
      </c>
      <c r="L5105" t="s">
        <v>35</v>
      </c>
      <c r="M5105">
        <v>1008</v>
      </c>
    </row>
    <row r="5106" spans="1:13">
      <c r="A5106">
        <v>5100</v>
      </c>
      <c r="B5106">
        <v>70859</v>
      </c>
      <c r="C5106" t="s">
        <v>10816</v>
      </c>
      <c r="D5106" t="s">
        <v>180</v>
      </c>
      <c r="E5106" t="s">
        <v>10817</v>
      </c>
      <c r="F5106" t="str">
        <f>"00385210"</f>
        <v>00385210</v>
      </c>
      <c r="G5106" t="s">
        <v>1753</v>
      </c>
      <c r="H5106" t="s">
        <v>20</v>
      </c>
      <c r="I5106">
        <v>1544</v>
      </c>
      <c r="J5106" t="s">
        <v>21</v>
      </c>
      <c r="K5106">
        <v>0</v>
      </c>
      <c r="M5106">
        <v>1528</v>
      </c>
    </row>
    <row r="5107" spans="1:13">
      <c r="A5107">
        <v>5101</v>
      </c>
      <c r="B5107">
        <v>106653</v>
      </c>
      <c r="C5107" t="s">
        <v>10816</v>
      </c>
      <c r="D5107" t="s">
        <v>73</v>
      </c>
      <c r="E5107" t="s">
        <v>10818</v>
      </c>
      <c r="F5107" t="str">
        <f>"00378874"</f>
        <v>00378874</v>
      </c>
      <c r="G5107" t="s">
        <v>371</v>
      </c>
      <c r="H5107" t="s">
        <v>20</v>
      </c>
      <c r="I5107">
        <v>1526</v>
      </c>
      <c r="J5107" t="s">
        <v>21</v>
      </c>
      <c r="K5107">
        <v>0</v>
      </c>
      <c r="L5107" t="s">
        <v>59</v>
      </c>
      <c r="M5107">
        <v>788</v>
      </c>
    </row>
    <row r="5108" spans="1:13">
      <c r="A5108">
        <v>5102</v>
      </c>
      <c r="B5108">
        <v>47298</v>
      </c>
      <c r="C5108" t="s">
        <v>10819</v>
      </c>
      <c r="D5108" t="s">
        <v>180</v>
      </c>
      <c r="E5108" t="s">
        <v>10820</v>
      </c>
      <c r="F5108" t="str">
        <f>"00270532"</f>
        <v>00270532</v>
      </c>
      <c r="G5108" t="s">
        <v>465</v>
      </c>
      <c r="H5108" t="s">
        <v>20</v>
      </c>
      <c r="I5108">
        <v>1534</v>
      </c>
      <c r="J5108" t="s">
        <v>21</v>
      </c>
      <c r="K5108">
        <v>0</v>
      </c>
      <c r="M5108">
        <v>1308</v>
      </c>
    </row>
    <row r="5109" spans="1:13">
      <c r="A5109">
        <v>5103</v>
      </c>
      <c r="B5109">
        <v>47453</v>
      </c>
      <c r="C5109" t="s">
        <v>10821</v>
      </c>
      <c r="D5109" t="s">
        <v>180</v>
      </c>
      <c r="E5109" t="s">
        <v>10822</v>
      </c>
      <c r="F5109" t="str">
        <f>"201511023769"</f>
        <v>201511023769</v>
      </c>
      <c r="G5109" t="s">
        <v>862</v>
      </c>
      <c r="H5109" t="s">
        <v>48</v>
      </c>
      <c r="I5109">
        <v>1619</v>
      </c>
      <c r="J5109" t="s">
        <v>21</v>
      </c>
      <c r="K5109">
        <v>0</v>
      </c>
      <c r="L5109" t="s">
        <v>59</v>
      </c>
      <c r="M5109">
        <v>1211</v>
      </c>
    </row>
    <row r="5110" spans="1:13">
      <c r="A5110">
        <v>5104</v>
      </c>
      <c r="B5110">
        <v>114054</v>
      </c>
      <c r="C5110" t="s">
        <v>10823</v>
      </c>
      <c r="D5110" t="s">
        <v>5841</v>
      </c>
      <c r="E5110" t="s">
        <v>10824</v>
      </c>
      <c r="F5110" t="str">
        <f>"00422338"</f>
        <v>00422338</v>
      </c>
      <c r="G5110" t="s">
        <v>19</v>
      </c>
      <c r="H5110" t="s">
        <v>20</v>
      </c>
      <c r="I5110">
        <v>1531</v>
      </c>
      <c r="J5110" t="s">
        <v>21</v>
      </c>
      <c r="K5110">
        <v>0</v>
      </c>
      <c r="L5110" t="s">
        <v>35</v>
      </c>
      <c r="M5110">
        <v>1075</v>
      </c>
    </row>
    <row r="5111" spans="1:13">
      <c r="A5111">
        <v>5105</v>
      </c>
      <c r="B5111">
        <v>107229</v>
      </c>
      <c r="C5111" t="s">
        <v>10825</v>
      </c>
      <c r="D5111" t="s">
        <v>373</v>
      </c>
      <c r="E5111" t="s">
        <v>10826</v>
      </c>
      <c r="F5111" t="str">
        <f>"00330061"</f>
        <v>00330061</v>
      </c>
      <c r="G5111" t="s">
        <v>600</v>
      </c>
      <c r="H5111" t="s">
        <v>1820</v>
      </c>
      <c r="I5111">
        <v>1721</v>
      </c>
      <c r="J5111" t="s">
        <v>21</v>
      </c>
      <c r="K5111">
        <v>0</v>
      </c>
      <c r="L5111" t="s">
        <v>35</v>
      </c>
      <c r="M5111">
        <v>1050</v>
      </c>
    </row>
    <row r="5112" spans="1:13">
      <c r="A5112">
        <v>5106</v>
      </c>
      <c r="B5112">
        <v>48994</v>
      </c>
      <c r="C5112" t="s">
        <v>10827</v>
      </c>
      <c r="D5112" t="s">
        <v>105</v>
      </c>
      <c r="E5112" t="s">
        <v>10828</v>
      </c>
      <c r="F5112" t="str">
        <f>"00369840"</f>
        <v>00369840</v>
      </c>
      <c r="G5112" t="s">
        <v>395</v>
      </c>
      <c r="H5112" t="s">
        <v>234</v>
      </c>
      <c r="I5112">
        <v>1336</v>
      </c>
      <c r="J5112" t="s">
        <v>21</v>
      </c>
      <c r="K5112">
        <v>0</v>
      </c>
      <c r="M5112">
        <v>1628</v>
      </c>
    </row>
    <row r="5113" spans="1:13">
      <c r="A5113">
        <v>5107</v>
      </c>
      <c r="B5113">
        <v>77103</v>
      </c>
      <c r="C5113" t="s">
        <v>10829</v>
      </c>
      <c r="D5113" t="s">
        <v>180</v>
      </c>
      <c r="E5113" t="s">
        <v>10830</v>
      </c>
      <c r="F5113" t="str">
        <f>"00081389"</f>
        <v>00081389</v>
      </c>
      <c r="G5113" t="s">
        <v>245</v>
      </c>
      <c r="H5113" t="s">
        <v>20</v>
      </c>
      <c r="I5113">
        <v>1406</v>
      </c>
      <c r="J5113" t="s">
        <v>21</v>
      </c>
      <c r="K5113">
        <v>0</v>
      </c>
      <c r="L5113" t="s">
        <v>35</v>
      </c>
      <c r="M5113">
        <v>950</v>
      </c>
    </row>
    <row r="5114" spans="1:13">
      <c r="A5114">
        <v>5108</v>
      </c>
      <c r="B5114">
        <v>64833</v>
      </c>
      <c r="C5114" t="s">
        <v>10831</v>
      </c>
      <c r="D5114" t="s">
        <v>163</v>
      </c>
      <c r="E5114" t="s">
        <v>10832</v>
      </c>
      <c r="F5114" t="str">
        <f>"201402012227"</f>
        <v>201402012227</v>
      </c>
      <c r="G5114" t="s">
        <v>111</v>
      </c>
      <c r="H5114" t="s">
        <v>48</v>
      </c>
      <c r="I5114">
        <v>1620</v>
      </c>
      <c r="J5114" t="s">
        <v>21</v>
      </c>
      <c r="K5114">
        <v>0</v>
      </c>
      <c r="M5114">
        <v>1358</v>
      </c>
    </row>
    <row r="5115" spans="1:13">
      <c r="A5115">
        <v>5109</v>
      </c>
      <c r="B5115">
        <v>63029</v>
      </c>
      <c r="C5115" t="s">
        <v>10833</v>
      </c>
      <c r="D5115" t="s">
        <v>213</v>
      </c>
      <c r="E5115" t="s">
        <v>10834</v>
      </c>
      <c r="F5115" t="str">
        <f>"00362294"</f>
        <v>00362294</v>
      </c>
      <c r="G5115" t="s">
        <v>111</v>
      </c>
      <c r="H5115" t="s">
        <v>48</v>
      </c>
      <c r="I5115">
        <v>1620</v>
      </c>
      <c r="J5115" t="s">
        <v>21</v>
      </c>
      <c r="K5115">
        <v>0</v>
      </c>
      <c r="L5115" t="s">
        <v>35</v>
      </c>
      <c r="M5115">
        <v>969</v>
      </c>
    </row>
    <row r="5116" spans="1:13">
      <c r="A5116">
        <v>5110</v>
      </c>
      <c r="B5116">
        <v>53462</v>
      </c>
      <c r="C5116" t="s">
        <v>10835</v>
      </c>
      <c r="D5116" t="s">
        <v>180</v>
      </c>
      <c r="E5116" t="s">
        <v>10836</v>
      </c>
      <c r="F5116" t="str">
        <f>"00356569"</f>
        <v>00356569</v>
      </c>
      <c r="G5116" t="s">
        <v>1695</v>
      </c>
      <c r="H5116" t="s">
        <v>20</v>
      </c>
      <c r="I5116">
        <v>1533</v>
      </c>
      <c r="J5116" t="s">
        <v>21</v>
      </c>
      <c r="K5116">
        <v>0</v>
      </c>
      <c r="L5116" t="s">
        <v>35</v>
      </c>
      <c r="M5116">
        <v>864</v>
      </c>
    </row>
    <row r="5117" spans="1:13">
      <c r="A5117">
        <v>5111</v>
      </c>
      <c r="B5117">
        <v>68295</v>
      </c>
      <c r="C5117" t="s">
        <v>10837</v>
      </c>
      <c r="D5117" t="s">
        <v>80</v>
      </c>
      <c r="E5117" t="s">
        <v>10838</v>
      </c>
      <c r="F5117" t="str">
        <f>"00264975"</f>
        <v>00264975</v>
      </c>
      <c r="G5117" t="s">
        <v>82</v>
      </c>
      <c r="H5117" t="s">
        <v>20</v>
      </c>
      <c r="I5117">
        <v>1475</v>
      </c>
      <c r="J5117" t="s">
        <v>21</v>
      </c>
      <c r="K5117">
        <v>0</v>
      </c>
      <c r="M5117">
        <v>1388</v>
      </c>
    </row>
    <row r="5118" spans="1:13">
      <c r="A5118">
        <v>5112</v>
      </c>
      <c r="B5118">
        <v>50202</v>
      </c>
      <c r="C5118" t="s">
        <v>10839</v>
      </c>
      <c r="D5118" t="s">
        <v>73</v>
      </c>
      <c r="E5118" t="s">
        <v>10840</v>
      </c>
      <c r="F5118" t="str">
        <f>"00261853"</f>
        <v>00261853</v>
      </c>
      <c r="G5118" t="s">
        <v>150</v>
      </c>
      <c r="H5118" t="s">
        <v>151</v>
      </c>
      <c r="I5118">
        <v>1699</v>
      </c>
      <c r="J5118" t="s">
        <v>21</v>
      </c>
      <c r="K5118">
        <v>0</v>
      </c>
      <c r="L5118" t="s">
        <v>112</v>
      </c>
      <c r="M5118">
        <v>808</v>
      </c>
    </row>
    <row r="5119" spans="1:13">
      <c r="A5119">
        <v>5113</v>
      </c>
      <c r="B5119">
        <v>48809</v>
      </c>
      <c r="C5119" t="s">
        <v>10841</v>
      </c>
      <c r="D5119" t="s">
        <v>80</v>
      </c>
      <c r="E5119" t="s">
        <v>10842</v>
      </c>
      <c r="F5119" t="str">
        <f>"00257604"</f>
        <v>00257604</v>
      </c>
      <c r="G5119" t="s">
        <v>150</v>
      </c>
      <c r="H5119" t="s">
        <v>151</v>
      </c>
      <c r="I5119">
        <v>1699</v>
      </c>
      <c r="J5119" t="s">
        <v>21</v>
      </c>
      <c r="K5119">
        <v>0</v>
      </c>
      <c r="L5119" t="s">
        <v>35</v>
      </c>
      <c r="M5119">
        <v>858</v>
      </c>
    </row>
    <row r="5120" spans="1:13">
      <c r="A5120">
        <v>5114</v>
      </c>
      <c r="B5120">
        <v>69776</v>
      </c>
      <c r="C5120" t="s">
        <v>10843</v>
      </c>
      <c r="D5120" t="s">
        <v>198</v>
      </c>
      <c r="E5120" t="s">
        <v>10844</v>
      </c>
      <c r="F5120" t="str">
        <f>"00415257"</f>
        <v>00415257</v>
      </c>
      <c r="G5120" t="s">
        <v>24</v>
      </c>
      <c r="H5120" t="s">
        <v>20</v>
      </c>
      <c r="I5120">
        <v>1577</v>
      </c>
      <c r="J5120" t="s">
        <v>21</v>
      </c>
      <c r="K5120">
        <v>0</v>
      </c>
      <c r="M5120">
        <v>1488</v>
      </c>
    </row>
    <row r="5121" spans="1:13">
      <c r="A5121">
        <v>5115</v>
      </c>
      <c r="B5121">
        <v>88679</v>
      </c>
      <c r="C5121" t="s">
        <v>10845</v>
      </c>
      <c r="D5121" t="s">
        <v>566</v>
      </c>
      <c r="E5121" t="s">
        <v>10846</v>
      </c>
      <c r="F5121" t="str">
        <f>"00386046"</f>
        <v>00386046</v>
      </c>
      <c r="G5121" t="s">
        <v>1125</v>
      </c>
      <c r="H5121" t="s">
        <v>20</v>
      </c>
      <c r="I5121">
        <v>1431</v>
      </c>
      <c r="J5121" t="s">
        <v>21</v>
      </c>
      <c r="K5121">
        <v>0</v>
      </c>
      <c r="M5121">
        <v>1438</v>
      </c>
    </row>
    <row r="5122" spans="1:13">
      <c r="A5122">
        <v>5116</v>
      </c>
      <c r="B5122">
        <v>112060</v>
      </c>
      <c r="C5122" t="s">
        <v>10847</v>
      </c>
      <c r="D5122" t="s">
        <v>105</v>
      </c>
      <c r="E5122" t="s">
        <v>10848</v>
      </c>
      <c r="F5122" t="str">
        <f>"00410398"</f>
        <v>00410398</v>
      </c>
      <c r="G5122" t="s">
        <v>230</v>
      </c>
      <c r="H5122" t="s">
        <v>20</v>
      </c>
      <c r="I5122">
        <v>1545</v>
      </c>
      <c r="J5122" t="s">
        <v>21</v>
      </c>
      <c r="K5122">
        <v>0</v>
      </c>
      <c r="L5122" t="s">
        <v>112</v>
      </c>
      <c r="M5122">
        <v>908</v>
      </c>
    </row>
    <row r="5123" spans="1:13">
      <c r="A5123">
        <v>5117</v>
      </c>
      <c r="B5123">
        <v>52909</v>
      </c>
      <c r="C5123" t="s">
        <v>10849</v>
      </c>
      <c r="D5123" t="s">
        <v>121</v>
      </c>
      <c r="E5123" t="s">
        <v>10850</v>
      </c>
      <c r="F5123" t="str">
        <f>"00227439"</f>
        <v>00227439</v>
      </c>
      <c r="G5123" t="s">
        <v>856</v>
      </c>
      <c r="H5123" t="s">
        <v>366</v>
      </c>
      <c r="I5123">
        <v>1706</v>
      </c>
      <c r="J5123" t="s">
        <v>21</v>
      </c>
      <c r="K5123">
        <v>0</v>
      </c>
      <c r="M5123">
        <v>1362</v>
      </c>
    </row>
    <row r="5124" spans="1:13">
      <c r="A5124">
        <v>5118</v>
      </c>
      <c r="B5124">
        <v>57183</v>
      </c>
      <c r="C5124" t="s">
        <v>10851</v>
      </c>
      <c r="D5124" t="s">
        <v>180</v>
      </c>
      <c r="E5124" t="s">
        <v>10852</v>
      </c>
      <c r="F5124" t="str">
        <f>"00153439"</f>
        <v>00153439</v>
      </c>
      <c r="G5124" t="s">
        <v>29</v>
      </c>
      <c r="H5124" t="s">
        <v>20</v>
      </c>
      <c r="I5124">
        <v>1446</v>
      </c>
      <c r="J5124" t="s">
        <v>21</v>
      </c>
      <c r="K5124">
        <v>0</v>
      </c>
      <c r="M5124">
        <v>1388</v>
      </c>
    </row>
    <row r="5125" spans="1:13">
      <c r="A5125">
        <v>5119</v>
      </c>
      <c r="B5125">
        <v>57908</v>
      </c>
      <c r="C5125" t="s">
        <v>10853</v>
      </c>
      <c r="D5125" t="s">
        <v>94</v>
      </c>
      <c r="E5125" t="s">
        <v>10854</v>
      </c>
      <c r="F5125" t="str">
        <f>"00360882"</f>
        <v>00360882</v>
      </c>
      <c r="G5125" t="s">
        <v>1345</v>
      </c>
      <c r="H5125" t="s">
        <v>137</v>
      </c>
      <c r="I5125">
        <v>1606</v>
      </c>
      <c r="J5125" t="s">
        <v>21</v>
      </c>
      <c r="K5125">
        <v>0</v>
      </c>
      <c r="M5125">
        <v>1488</v>
      </c>
    </row>
    <row r="5126" spans="1:13">
      <c r="A5126">
        <v>5120</v>
      </c>
      <c r="B5126">
        <v>82294</v>
      </c>
      <c r="C5126" t="s">
        <v>10855</v>
      </c>
      <c r="D5126" t="s">
        <v>180</v>
      </c>
      <c r="E5126" t="s">
        <v>10856</v>
      </c>
      <c r="F5126" t="str">
        <f>"201511021996"</f>
        <v>201511021996</v>
      </c>
      <c r="G5126" t="s">
        <v>107</v>
      </c>
      <c r="H5126" t="s">
        <v>20</v>
      </c>
      <c r="I5126">
        <v>1472</v>
      </c>
      <c r="J5126" t="s">
        <v>21</v>
      </c>
      <c r="K5126">
        <v>0</v>
      </c>
      <c r="L5126" t="s">
        <v>112</v>
      </c>
      <c r="M5126">
        <v>808</v>
      </c>
    </row>
    <row r="5127" spans="1:13">
      <c r="A5127">
        <v>5121</v>
      </c>
      <c r="B5127">
        <v>57002</v>
      </c>
      <c r="C5127" t="s">
        <v>10857</v>
      </c>
      <c r="D5127" t="s">
        <v>243</v>
      </c>
      <c r="E5127" t="s">
        <v>10858</v>
      </c>
      <c r="F5127" t="str">
        <f>"00253621"</f>
        <v>00253621</v>
      </c>
      <c r="G5127" t="s">
        <v>994</v>
      </c>
      <c r="H5127" t="s">
        <v>20</v>
      </c>
      <c r="I5127">
        <v>1522</v>
      </c>
      <c r="J5127" t="s">
        <v>21</v>
      </c>
      <c r="K5127">
        <v>0</v>
      </c>
      <c r="L5127" t="s">
        <v>35</v>
      </c>
      <c r="M5127">
        <v>908</v>
      </c>
    </row>
    <row r="5128" spans="1:13">
      <c r="A5128">
        <v>5122</v>
      </c>
      <c r="B5128">
        <v>47488</v>
      </c>
      <c r="C5128" t="s">
        <v>10859</v>
      </c>
      <c r="D5128" t="s">
        <v>145</v>
      </c>
      <c r="E5128" t="s">
        <v>10860</v>
      </c>
      <c r="F5128" t="str">
        <f>"00364042"</f>
        <v>00364042</v>
      </c>
      <c r="G5128" t="s">
        <v>834</v>
      </c>
      <c r="H5128" t="s">
        <v>20</v>
      </c>
      <c r="I5128">
        <v>1416</v>
      </c>
      <c r="J5128" t="s">
        <v>21</v>
      </c>
      <c r="K5128">
        <v>0</v>
      </c>
      <c r="M5128">
        <v>1338</v>
      </c>
    </row>
    <row r="5129" spans="1:13">
      <c r="A5129">
        <v>5123</v>
      </c>
      <c r="B5129">
        <v>113060</v>
      </c>
      <c r="C5129" t="s">
        <v>10861</v>
      </c>
      <c r="D5129" t="s">
        <v>180</v>
      </c>
      <c r="E5129" t="s">
        <v>10862</v>
      </c>
      <c r="F5129" t="str">
        <f>"00419478"</f>
        <v>00419478</v>
      </c>
      <c r="G5129" t="s">
        <v>709</v>
      </c>
      <c r="H5129" t="s">
        <v>20</v>
      </c>
      <c r="I5129">
        <v>1413</v>
      </c>
      <c r="J5129" t="s">
        <v>21</v>
      </c>
      <c r="K5129">
        <v>0</v>
      </c>
      <c r="M5129">
        <v>1308</v>
      </c>
    </row>
    <row r="5130" spans="1:13">
      <c r="A5130">
        <v>5124</v>
      </c>
      <c r="B5130">
        <v>48212</v>
      </c>
      <c r="C5130" t="s">
        <v>10863</v>
      </c>
      <c r="D5130" t="s">
        <v>905</v>
      </c>
      <c r="E5130" t="s">
        <v>10864</v>
      </c>
      <c r="F5130" t="str">
        <f>"00253784"</f>
        <v>00253784</v>
      </c>
      <c r="G5130" t="s">
        <v>600</v>
      </c>
      <c r="H5130" t="s">
        <v>366</v>
      </c>
      <c r="I5130">
        <v>1694</v>
      </c>
      <c r="J5130" t="s">
        <v>21</v>
      </c>
      <c r="K5130">
        <v>0</v>
      </c>
      <c r="L5130" t="s">
        <v>35</v>
      </c>
      <c r="M5130">
        <v>908</v>
      </c>
    </row>
    <row r="5131" spans="1:13">
      <c r="A5131">
        <v>5125</v>
      </c>
      <c r="B5131">
        <v>110576</v>
      </c>
      <c r="C5131" t="s">
        <v>10865</v>
      </c>
      <c r="D5131" t="s">
        <v>243</v>
      </c>
      <c r="E5131" t="s">
        <v>10866</v>
      </c>
      <c r="F5131" t="str">
        <f>"00411309"</f>
        <v>00411309</v>
      </c>
      <c r="G5131" t="s">
        <v>211</v>
      </c>
      <c r="H5131" t="s">
        <v>20</v>
      </c>
      <c r="I5131">
        <v>1539</v>
      </c>
      <c r="J5131" t="s">
        <v>21</v>
      </c>
      <c r="K5131">
        <v>0</v>
      </c>
      <c r="L5131" t="s">
        <v>35</v>
      </c>
      <c r="M5131">
        <v>1108</v>
      </c>
    </row>
    <row r="5132" spans="1:13">
      <c r="A5132">
        <v>5126</v>
      </c>
      <c r="B5132">
        <v>115645</v>
      </c>
      <c r="C5132" t="s">
        <v>10867</v>
      </c>
      <c r="D5132" t="s">
        <v>121</v>
      </c>
      <c r="E5132" t="s">
        <v>10868</v>
      </c>
      <c r="F5132" t="str">
        <f>"00421643"</f>
        <v>00421643</v>
      </c>
      <c r="G5132" t="s">
        <v>207</v>
      </c>
      <c r="H5132" t="s">
        <v>20</v>
      </c>
      <c r="I5132">
        <v>1560</v>
      </c>
      <c r="J5132" t="s">
        <v>21</v>
      </c>
      <c r="K5132">
        <v>6</v>
      </c>
      <c r="L5132" t="s">
        <v>83</v>
      </c>
      <c r="M5132">
        <v>1378</v>
      </c>
    </row>
    <row r="5133" spans="1:13">
      <c r="A5133">
        <v>5127</v>
      </c>
      <c r="B5133">
        <v>70638</v>
      </c>
      <c r="C5133" t="s">
        <v>10869</v>
      </c>
      <c r="D5133" t="s">
        <v>163</v>
      </c>
      <c r="E5133" t="s">
        <v>10870</v>
      </c>
      <c r="F5133" t="str">
        <f>"00384304"</f>
        <v>00384304</v>
      </c>
      <c r="G5133" t="s">
        <v>3237</v>
      </c>
      <c r="H5133" t="s">
        <v>20</v>
      </c>
      <c r="I5133">
        <v>1515</v>
      </c>
      <c r="J5133" t="s">
        <v>21</v>
      </c>
      <c r="K5133">
        <v>6</v>
      </c>
      <c r="L5133" t="s">
        <v>35</v>
      </c>
      <c r="M5133">
        <v>836</v>
      </c>
    </row>
    <row r="5134" spans="1:13">
      <c r="A5134">
        <v>5128</v>
      </c>
      <c r="B5134">
        <v>48086</v>
      </c>
      <c r="C5134" t="s">
        <v>10871</v>
      </c>
      <c r="D5134" t="s">
        <v>628</v>
      </c>
      <c r="E5134" t="s">
        <v>10872</v>
      </c>
      <c r="F5134" t="str">
        <f>"00372398"</f>
        <v>00372398</v>
      </c>
      <c r="G5134" t="s">
        <v>215</v>
      </c>
      <c r="H5134" t="s">
        <v>216</v>
      </c>
      <c r="I5134">
        <v>1708</v>
      </c>
      <c r="J5134" t="s">
        <v>21</v>
      </c>
      <c r="K5134">
        <v>6</v>
      </c>
      <c r="M5134">
        <v>1618</v>
      </c>
    </row>
    <row r="5135" spans="1:13">
      <c r="A5135">
        <v>5129</v>
      </c>
      <c r="B5135">
        <v>68656</v>
      </c>
      <c r="C5135" t="s">
        <v>10873</v>
      </c>
      <c r="D5135" t="s">
        <v>80</v>
      </c>
      <c r="E5135" t="s">
        <v>10874</v>
      </c>
      <c r="F5135" t="str">
        <f>"200901001017"</f>
        <v>200901001017</v>
      </c>
      <c r="G5135" t="s">
        <v>428</v>
      </c>
      <c r="H5135" t="s">
        <v>20</v>
      </c>
      <c r="I5135">
        <v>1556</v>
      </c>
      <c r="J5135" t="s">
        <v>21</v>
      </c>
      <c r="K5135">
        <v>6</v>
      </c>
      <c r="L5135" t="s">
        <v>35</v>
      </c>
      <c r="M5135">
        <v>1008</v>
      </c>
    </row>
    <row r="5136" spans="1:13">
      <c r="A5136">
        <v>5130</v>
      </c>
      <c r="B5136">
        <v>58724</v>
      </c>
      <c r="C5136" t="s">
        <v>10875</v>
      </c>
      <c r="D5136" t="s">
        <v>7321</v>
      </c>
      <c r="E5136" t="s">
        <v>10876</v>
      </c>
      <c r="F5136" t="str">
        <f>"00372835"</f>
        <v>00372835</v>
      </c>
      <c r="G5136" t="s">
        <v>215</v>
      </c>
      <c r="H5136" t="s">
        <v>216</v>
      </c>
      <c r="I5136">
        <v>1708</v>
      </c>
      <c r="J5136" t="s">
        <v>21</v>
      </c>
      <c r="K5136">
        <v>6</v>
      </c>
      <c r="M5136">
        <v>1321</v>
      </c>
    </row>
    <row r="5137" spans="1:13">
      <c r="A5137">
        <v>5131</v>
      </c>
      <c r="B5137">
        <v>102145</v>
      </c>
      <c r="C5137" t="s">
        <v>10877</v>
      </c>
      <c r="D5137" t="s">
        <v>399</v>
      </c>
      <c r="E5137" t="s">
        <v>10878</v>
      </c>
      <c r="F5137" t="str">
        <f>"00351128"</f>
        <v>00351128</v>
      </c>
      <c r="G5137" t="s">
        <v>150</v>
      </c>
      <c r="H5137" t="s">
        <v>151</v>
      </c>
      <c r="I5137">
        <v>1699</v>
      </c>
      <c r="J5137" t="s">
        <v>21</v>
      </c>
      <c r="K5137">
        <v>0</v>
      </c>
      <c r="L5137" t="s">
        <v>401</v>
      </c>
      <c r="M5137">
        <v>1021</v>
      </c>
    </row>
    <row r="5138" spans="1:13">
      <c r="A5138">
        <v>5132</v>
      </c>
      <c r="B5138">
        <v>81004</v>
      </c>
      <c r="C5138" t="s">
        <v>10879</v>
      </c>
      <c r="D5138" t="s">
        <v>492</v>
      </c>
      <c r="E5138" t="s">
        <v>10880</v>
      </c>
      <c r="F5138" t="str">
        <f>"00400993"</f>
        <v>00400993</v>
      </c>
      <c r="G5138" t="s">
        <v>2048</v>
      </c>
      <c r="H5138" t="s">
        <v>20</v>
      </c>
      <c r="I5138">
        <v>1633</v>
      </c>
      <c r="J5138" t="s">
        <v>21</v>
      </c>
      <c r="K5138">
        <v>6</v>
      </c>
      <c r="L5138" t="s">
        <v>59</v>
      </c>
      <c r="M5138">
        <v>858</v>
      </c>
    </row>
    <row r="5139" spans="1:13">
      <c r="A5139">
        <v>5133</v>
      </c>
      <c r="B5139">
        <v>74399</v>
      </c>
      <c r="C5139" t="s">
        <v>10881</v>
      </c>
      <c r="D5139" t="s">
        <v>10882</v>
      </c>
      <c r="E5139" t="s">
        <v>10883</v>
      </c>
      <c r="F5139" t="str">
        <f>"201506002274"</f>
        <v>201506002274</v>
      </c>
      <c r="G5139" t="s">
        <v>150</v>
      </c>
      <c r="H5139" t="s">
        <v>151</v>
      </c>
      <c r="I5139">
        <v>1699</v>
      </c>
      <c r="J5139" t="s">
        <v>21</v>
      </c>
      <c r="K5139">
        <v>0</v>
      </c>
      <c r="L5139" t="s">
        <v>35</v>
      </c>
      <c r="M5139">
        <v>850</v>
      </c>
    </row>
    <row r="5140" spans="1:13">
      <c r="A5140">
        <v>5134</v>
      </c>
      <c r="B5140">
        <v>74303</v>
      </c>
      <c r="C5140" t="s">
        <v>10884</v>
      </c>
      <c r="D5140" t="s">
        <v>399</v>
      </c>
      <c r="E5140" t="s">
        <v>10885</v>
      </c>
      <c r="F5140" t="str">
        <f>"00385845"</f>
        <v>00385845</v>
      </c>
      <c r="G5140" t="s">
        <v>96</v>
      </c>
      <c r="H5140" t="s">
        <v>20</v>
      </c>
      <c r="I5140">
        <v>1474</v>
      </c>
      <c r="J5140" t="s">
        <v>21</v>
      </c>
      <c r="K5140">
        <v>0</v>
      </c>
      <c r="L5140" t="s">
        <v>35</v>
      </c>
      <c r="M5140">
        <v>1308</v>
      </c>
    </row>
    <row r="5141" spans="1:13">
      <c r="A5141">
        <v>5135</v>
      </c>
      <c r="B5141">
        <v>49485</v>
      </c>
      <c r="C5141" t="s">
        <v>10886</v>
      </c>
      <c r="D5141" t="s">
        <v>105</v>
      </c>
      <c r="E5141" t="s">
        <v>10887</v>
      </c>
      <c r="F5141" t="str">
        <f>"00044947"</f>
        <v>00044947</v>
      </c>
      <c r="G5141" t="s">
        <v>107</v>
      </c>
      <c r="H5141" t="s">
        <v>20</v>
      </c>
      <c r="I5141">
        <v>1472</v>
      </c>
      <c r="J5141" t="s">
        <v>21</v>
      </c>
      <c r="K5141">
        <v>0</v>
      </c>
      <c r="L5141" t="s">
        <v>59</v>
      </c>
      <c r="M5141">
        <v>988</v>
      </c>
    </row>
    <row r="5142" spans="1:13">
      <c r="A5142">
        <v>5136</v>
      </c>
      <c r="B5142">
        <v>73736</v>
      </c>
      <c r="C5142" t="s">
        <v>10888</v>
      </c>
      <c r="D5142" t="s">
        <v>145</v>
      </c>
      <c r="E5142" t="s">
        <v>10889</v>
      </c>
      <c r="F5142" t="str">
        <f>"00375690"</f>
        <v>00375690</v>
      </c>
      <c r="G5142" t="s">
        <v>1321</v>
      </c>
      <c r="H5142" t="s">
        <v>234</v>
      </c>
      <c r="I5142">
        <v>1330</v>
      </c>
      <c r="J5142" t="s">
        <v>21</v>
      </c>
      <c r="K5142">
        <v>0</v>
      </c>
      <c r="L5142" t="s">
        <v>35</v>
      </c>
      <c r="M5142">
        <v>1055</v>
      </c>
    </row>
    <row r="5143" spans="1:13">
      <c r="A5143">
        <v>5137</v>
      </c>
      <c r="B5143">
        <v>67214</v>
      </c>
      <c r="C5143" t="s">
        <v>10890</v>
      </c>
      <c r="D5143" t="s">
        <v>80</v>
      </c>
      <c r="E5143" t="s">
        <v>10891</v>
      </c>
      <c r="F5143" t="str">
        <f>"00405759"</f>
        <v>00405759</v>
      </c>
      <c r="G5143" t="s">
        <v>1561</v>
      </c>
      <c r="H5143" t="s">
        <v>1562</v>
      </c>
      <c r="I5143">
        <v>1616</v>
      </c>
      <c r="J5143" t="s">
        <v>21</v>
      </c>
      <c r="K5143">
        <v>0</v>
      </c>
      <c r="M5143">
        <v>1788</v>
      </c>
    </row>
    <row r="5144" spans="1:13">
      <c r="A5144">
        <v>5138</v>
      </c>
      <c r="B5144">
        <v>62059</v>
      </c>
      <c r="C5144" t="s">
        <v>10892</v>
      </c>
      <c r="D5144" t="s">
        <v>105</v>
      </c>
      <c r="E5144" t="s">
        <v>10893</v>
      </c>
      <c r="F5144" t="str">
        <f>"00361253"</f>
        <v>00361253</v>
      </c>
      <c r="G5144" t="s">
        <v>111</v>
      </c>
      <c r="H5144" t="s">
        <v>48</v>
      </c>
      <c r="I5144">
        <v>1620</v>
      </c>
      <c r="J5144" t="s">
        <v>21</v>
      </c>
      <c r="K5144">
        <v>0</v>
      </c>
      <c r="M5144">
        <v>1428</v>
      </c>
    </row>
    <row r="5145" spans="1:13">
      <c r="A5145">
        <v>5139</v>
      </c>
      <c r="B5145">
        <v>57820</v>
      </c>
      <c r="C5145" t="s">
        <v>10894</v>
      </c>
      <c r="D5145" t="s">
        <v>914</v>
      </c>
      <c r="E5145" t="s">
        <v>10895</v>
      </c>
      <c r="F5145" t="str">
        <f>"00262036"</f>
        <v>00262036</v>
      </c>
      <c r="G5145" t="s">
        <v>1695</v>
      </c>
      <c r="H5145" t="s">
        <v>20</v>
      </c>
      <c r="I5145">
        <v>1533</v>
      </c>
      <c r="J5145" t="s">
        <v>21</v>
      </c>
      <c r="K5145">
        <v>0</v>
      </c>
      <c r="M5145">
        <v>1388</v>
      </c>
    </row>
    <row r="5146" spans="1:13">
      <c r="A5146">
        <v>5140</v>
      </c>
      <c r="B5146">
        <v>70742</v>
      </c>
      <c r="C5146" t="s">
        <v>10896</v>
      </c>
      <c r="D5146" t="s">
        <v>76</v>
      </c>
      <c r="E5146" t="s">
        <v>10897</v>
      </c>
      <c r="F5146" t="str">
        <f>"00400693"</f>
        <v>00400693</v>
      </c>
      <c r="G5146" t="s">
        <v>1695</v>
      </c>
      <c r="H5146" t="s">
        <v>20</v>
      </c>
      <c r="I5146">
        <v>1533</v>
      </c>
      <c r="J5146" t="s">
        <v>21</v>
      </c>
      <c r="K5146">
        <v>0</v>
      </c>
      <c r="L5146" t="s">
        <v>35</v>
      </c>
      <c r="M5146">
        <v>864</v>
      </c>
    </row>
    <row r="5147" spans="1:13">
      <c r="A5147">
        <v>5141</v>
      </c>
      <c r="B5147">
        <v>86741</v>
      </c>
      <c r="C5147" t="s">
        <v>10898</v>
      </c>
      <c r="D5147" t="s">
        <v>756</v>
      </c>
      <c r="E5147" t="s">
        <v>10899</v>
      </c>
      <c r="F5147" t="str">
        <f>"00361033"</f>
        <v>00361033</v>
      </c>
      <c r="G5147" t="s">
        <v>600</v>
      </c>
      <c r="H5147" t="s">
        <v>234</v>
      </c>
      <c r="I5147">
        <v>1337</v>
      </c>
      <c r="J5147" t="s">
        <v>21</v>
      </c>
      <c r="K5147">
        <v>0</v>
      </c>
      <c r="M5147">
        <v>1528</v>
      </c>
    </row>
    <row r="5148" spans="1:13">
      <c r="A5148">
        <v>5142</v>
      </c>
      <c r="B5148">
        <v>62096</v>
      </c>
      <c r="C5148" t="s">
        <v>10900</v>
      </c>
      <c r="D5148" t="s">
        <v>121</v>
      </c>
      <c r="E5148" t="s">
        <v>10901</v>
      </c>
      <c r="F5148" t="str">
        <f>"00023427"</f>
        <v>00023427</v>
      </c>
      <c r="G5148" t="s">
        <v>1561</v>
      </c>
      <c r="H5148" t="s">
        <v>1562</v>
      </c>
      <c r="I5148">
        <v>1616</v>
      </c>
      <c r="J5148" t="s">
        <v>21</v>
      </c>
      <c r="K5148">
        <v>0</v>
      </c>
      <c r="M5148">
        <v>1578</v>
      </c>
    </row>
    <row r="5149" spans="1:13">
      <c r="A5149">
        <v>5143</v>
      </c>
      <c r="B5149">
        <v>86364</v>
      </c>
      <c r="C5149" t="s">
        <v>10902</v>
      </c>
      <c r="D5149" t="s">
        <v>180</v>
      </c>
      <c r="E5149" t="s">
        <v>10903</v>
      </c>
      <c r="F5149" t="str">
        <f>"00408133"</f>
        <v>00408133</v>
      </c>
      <c r="G5149" t="s">
        <v>1125</v>
      </c>
      <c r="H5149" t="s">
        <v>20</v>
      </c>
      <c r="I5149">
        <v>1431</v>
      </c>
      <c r="J5149" t="s">
        <v>21</v>
      </c>
      <c r="K5149">
        <v>0</v>
      </c>
      <c r="L5149" t="s">
        <v>35</v>
      </c>
      <c r="M5149">
        <v>1108</v>
      </c>
    </row>
    <row r="5150" spans="1:13">
      <c r="A5150">
        <v>5144</v>
      </c>
      <c r="B5150">
        <v>89012</v>
      </c>
      <c r="C5150" t="s">
        <v>10904</v>
      </c>
      <c r="D5150" t="s">
        <v>2130</v>
      </c>
      <c r="E5150" t="s">
        <v>10905</v>
      </c>
      <c r="F5150" t="str">
        <f>"00027307"</f>
        <v>00027307</v>
      </c>
      <c r="G5150" t="s">
        <v>365</v>
      </c>
      <c r="H5150" t="s">
        <v>366</v>
      </c>
      <c r="I5150">
        <v>1692</v>
      </c>
      <c r="J5150" t="s">
        <v>21</v>
      </c>
      <c r="K5150">
        <v>0</v>
      </c>
      <c r="M5150">
        <v>1367</v>
      </c>
    </row>
    <row r="5151" spans="1:13">
      <c r="A5151">
        <v>5145</v>
      </c>
      <c r="B5151">
        <v>55032</v>
      </c>
      <c r="C5151" t="s">
        <v>10906</v>
      </c>
      <c r="D5151" t="s">
        <v>209</v>
      </c>
      <c r="E5151" t="s">
        <v>10907</v>
      </c>
      <c r="F5151" t="str">
        <f>"00271721"</f>
        <v>00271721</v>
      </c>
      <c r="G5151" t="s">
        <v>1556</v>
      </c>
      <c r="H5151" t="s">
        <v>20</v>
      </c>
      <c r="I5151">
        <v>1530</v>
      </c>
      <c r="J5151" t="s">
        <v>21</v>
      </c>
      <c r="K5151">
        <v>0</v>
      </c>
      <c r="M5151">
        <v>1488</v>
      </c>
    </row>
    <row r="5152" spans="1:13">
      <c r="A5152">
        <v>5146</v>
      </c>
      <c r="B5152">
        <v>77955</v>
      </c>
      <c r="C5152" t="s">
        <v>10908</v>
      </c>
      <c r="D5152" t="s">
        <v>276</v>
      </c>
      <c r="E5152" t="s">
        <v>10909</v>
      </c>
      <c r="F5152" t="str">
        <f>"00371095"</f>
        <v>00371095</v>
      </c>
      <c r="G5152" t="s">
        <v>488</v>
      </c>
      <c r="H5152" t="s">
        <v>20</v>
      </c>
      <c r="I5152">
        <v>1482</v>
      </c>
      <c r="J5152" t="s">
        <v>21</v>
      </c>
      <c r="K5152">
        <v>0</v>
      </c>
      <c r="L5152" t="s">
        <v>35</v>
      </c>
      <c r="M5152">
        <v>936</v>
      </c>
    </row>
    <row r="5153" spans="1:13">
      <c r="A5153">
        <v>5147</v>
      </c>
      <c r="B5153">
        <v>68967</v>
      </c>
      <c r="C5153" t="s">
        <v>10910</v>
      </c>
      <c r="D5153" t="s">
        <v>102</v>
      </c>
      <c r="E5153" t="s">
        <v>10911</v>
      </c>
      <c r="F5153" t="str">
        <f>"00400513"</f>
        <v>00400513</v>
      </c>
      <c r="G5153" t="s">
        <v>47</v>
      </c>
      <c r="H5153" t="s">
        <v>48</v>
      </c>
      <c r="I5153">
        <v>1623</v>
      </c>
      <c r="J5153" t="s">
        <v>21</v>
      </c>
      <c r="K5153">
        <v>0</v>
      </c>
      <c r="L5153" t="s">
        <v>112</v>
      </c>
      <c r="M5153">
        <v>804</v>
      </c>
    </row>
    <row r="5154" spans="1:13">
      <c r="A5154">
        <v>5148</v>
      </c>
      <c r="B5154">
        <v>53696</v>
      </c>
      <c r="C5154" t="s">
        <v>10912</v>
      </c>
      <c r="D5154" t="s">
        <v>80</v>
      </c>
      <c r="E5154" t="s">
        <v>10913</v>
      </c>
      <c r="F5154" t="str">
        <f>"00346802"</f>
        <v>00346802</v>
      </c>
      <c r="G5154" t="s">
        <v>42</v>
      </c>
      <c r="H5154" t="s">
        <v>43</v>
      </c>
      <c r="I5154">
        <v>1712</v>
      </c>
      <c r="J5154" t="s">
        <v>21</v>
      </c>
      <c r="K5154">
        <v>0</v>
      </c>
      <c r="M5154">
        <v>1468</v>
      </c>
    </row>
    <row r="5155" spans="1:13">
      <c r="A5155">
        <v>5149</v>
      </c>
      <c r="B5155">
        <v>103539</v>
      </c>
      <c r="C5155" t="s">
        <v>10914</v>
      </c>
      <c r="D5155" t="s">
        <v>180</v>
      </c>
      <c r="E5155" t="s">
        <v>10915</v>
      </c>
      <c r="F5155" t="str">
        <f>"00283702"</f>
        <v>00283702</v>
      </c>
      <c r="G5155" t="s">
        <v>358</v>
      </c>
      <c r="H5155" t="s">
        <v>20</v>
      </c>
      <c r="I5155">
        <v>1549</v>
      </c>
      <c r="J5155" t="s">
        <v>21</v>
      </c>
      <c r="K5155">
        <v>0</v>
      </c>
      <c r="L5155" t="s">
        <v>88</v>
      </c>
      <c r="M5155">
        <v>558</v>
      </c>
    </row>
    <row r="5156" spans="1:13">
      <c r="A5156">
        <v>5150</v>
      </c>
      <c r="B5156">
        <v>53640</v>
      </c>
      <c r="C5156" t="s">
        <v>10916</v>
      </c>
      <c r="D5156" t="s">
        <v>76</v>
      </c>
      <c r="E5156" t="s">
        <v>10917</v>
      </c>
      <c r="F5156" t="str">
        <f>"00097646"</f>
        <v>00097646</v>
      </c>
      <c r="G5156" t="s">
        <v>87</v>
      </c>
      <c r="H5156" t="s">
        <v>6482</v>
      </c>
      <c r="I5156">
        <v>1701</v>
      </c>
      <c r="J5156" t="s">
        <v>21</v>
      </c>
      <c r="K5156">
        <v>0</v>
      </c>
      <c r="M5156">
        <v>1488</v>
      </c>
    </row>
    <row r="5157" spans="1:13">
      <c r="A5157">
        <v>5151</v>
      </c>
      <c r="B5157">
        <v>91829</v>
      </c>
      <c r="C5157" t="s">
        <v>10918</v>
      </c>
      <c r="D5157" t="s">
        <v>121</v>
      </c>
      <c r="E5157" t="s">
        <v>10919</v>
      </c>
      <c r="F5157" t="str">
        <f>"00349868"</f>
        <v>00349868</v>
      </c>
      <c r="G5157" t="s">
        <v>150</v>
      </c>
      <c r="H5157" t="s">
        <v>151</v>
      </c>
      <c r="I5157">
        <v>1699</v>
      </c>
      <c r="J5157" t="s">
        <v>21</v>
      </c>
      <c r="K5157">
        <v>0</v>
      </c>
      <c r="L5157" t="s">
        <v>59</v>
      </c>
      <c r="M5157">
        <v>867</v>
      </c>
    </row>
    <row r="5158" spans="1:13">
      <c r="A5158">
        <v>5152</v>
      </c>
      <c r="B5158">
        <v>59022</v>
      </c>
      <c r="C5158" t="s">
        <v>10920</v>
      </c>
      <c r="D5158" t="s">
        <v>90</v>
      </c>
      <c r="E5158" t="s">
        <v>10921</v>
      </c>
      <c r="F5158" t="str">
        <f>"00359267"</f>
        <v>00359267</v>
      </c>
      <c r="G5158" t="s">
        <v>883</v>
      </c>
      <c r="H5158" t="s">
        <v>270</v>
      </c>
      <c r="I5158">
        <v>1585</v>
      </c>
      <c r="J5158" t="s">
        <v>21</v>
      </c>
      <c r="K5158">
        <v>0</v>
      </c>
      <c r="M5158">
        <v>1388</v>
      </c>
    </row>
    <row r="5159" spans="1:13">
      <c r="A5159">
        <v>5153</v>
      </c>
      <c r="B5159">
        <v>59378</v>
      </c>
      <c r="C5159" t="s">
        <v>10922</v>
      </c>
      <c r="D5159" t="s">
        <v>94</v>
      </c>
      <c r="E5159" t="s">
        <v>10923</v>
      </c>
      <c r="F5159" t="str">
        <f>"00346652"</f>
        <v>00346652</v>
      </c>
      <c r="G5159" t="s">
        <v>215</v>
      </c>
      <c r="H5159" t="s">
        <v>216</v>
      </c>
      <c r="I5159">
        <v>1708</v>
      </c>
      <c r="J5159" t="s">
        <v>21</v>
      </c>
      <c r="K5159">
        <v>6</v>
      </c>
      <c r="L5159" t="s">
        <v>112</v>
      </c>
      <c r="M5159">
        <v>800</v>
      </c>
    </row>
    <row r="5160" spans="1:13">
      <c r="A5160">
        <v>5154</v>
      </c>
      <c r="B5160">
        <v>92889</v>
      </c>
      <c r="C5160" t="s">
        <v>10924</v>
      </c>
      <c r="D5160" t="s">
        <v>391</v>
      </c>
      <c r="E5160" t="s">
        <v>10925</v>
      </c>
      <c r="F5160" t="str">
        <f>"00321131"</f>
        <v>00321131</v>
      </c>
      <c r="G5160" t="s">
        <v>804</v>
      </c>
      <c r="H5160" t="s">
        <v>535</v>
      </c>
      <c r="I5160">
        <v>1353</v>
      </c>
      <c r="J5160" t="s">
        <v>21</v>
      </c>
      <c r="K5160">
        <v>0</v>
      </c>
      <c r="M5160">
        <v>1378</v>
      </c>
    </row>
    <row r="5161" spans="1:13">
      <c r="A5161">
        <v>5155</v>
      </c>
      <c r="B5161">
        <v>74862</v>
      </c>
      <c r="C5161" t="s">
        <v>10926</v>
      </c>
      <c r="D5161" t="s">
        <v>90</v>
      </c>
      <c r="E5161" t="s">
        <v>10927</v>
      </c>
      <c r="F5161" t="str">
        <f>"00399143"</f>
        <v>00399143</v>
      </c>
      <c r="G5161" t="s">
        <v>240</v>
      </c>
      <c r="H5161" t="s">
        <v>20</v>
      </c>
      <c r="I5161">
        <v>1535</v>
      </c>
      <c r="J5161" t="s">
        <v>21</v>
      </c>
      <c r="K5161">
        <v>6</v>
      </c>
      <c r="M5161">
        <v>1418</v>
      </c>
    </row>
    <row r="5162" spans="1:13">
      <c r="A5162">
        <v>5156</v>
      </c>
      <c r="B5162">
        <v>47022</v>
      </c>
      <c r="C5162" t="s">
        <v>10928</v>
      </c>
      <c r="D5162" t="s">
        <v>90</v>
      </c>
      <c r="E5162" t="s">
        <v>10929</v>
      </c>
      <c r="F5162" t="str">
        <f>"00232275"</f>
        <v>00232275</v>
      </c>
      <c r="G5162" t="s">
        <v>240</v>
      </c>
      <c r="H5162" t="s">
        <v>20</v>
      </c>
      <c r="I5162">
        <v>1535</v>
      </c>
      <c r="J5162" t="s">
        <v>21</v>
      </c>
      <c r="K5162">
        <v>6</v>
      </c>
      <c r="L5162" t="s">
        <v>35</v>
      </c>
      <c r="M5162">
        <v>908</v>
      </c>
    </row>
    <row r="5163" spans="1:13">
      <c r="A5163">
        <v>5157</v>
      </c>
      <c r="B5163">
        <v>66298</v>
      </c>
      <c r="C5163" t="s">
        <v>10930</v>
      </c>
      <c r="D5163" t="s">
        <v>145</v>
      </c>
      <c r="E5163" t="s">
        <v>10931</v>
      </c>
      <c r="F5163" t="str">
        <f>"00397908"</f>
        <v>00397908</v>
      </c>
      <c r="G5163" t="s">
        <v>497</v>
      </c>
      <c r="H5163" t="s">
        <v>274</v>
      </c>
      <c r="I5163">
        <v>1398</v>
      </c>
      <c r="J5163" t="s">
        <v>21</v>
      </c>
      <c r="K5163">
        <v>6</v>
      </c>
      <c r="L5163" t="s">
        <v>35</v>
      </c>
      <c r="M5163">
        <v>1108</v>
      </c>
    </row>
    <row r="5164" spans="1:13">
      <c r="A5164">
        <v>5158</v>
      </c>
      <c r="B5164">
        <v>59549</v>
      </c>
      <c r="C5164" t="s">
        <v>10932</v>
      </c>
      <c r="D5164" t="s">
        <v>80</v>
      </c>
      <c r="E5164" t="s">
        <v>10933</v>
      </c>
      <c r="F5164" t="str">
        <f>"200812000642"</f>
        <v>200812000642</v>
      </c>
      <c r="G5164" t="s">
        <v>211</v>
      </c>
      <c r="H5164" t="s">
        <v>48</v>
      </c>
      <c r="I5164">
        <v>1628</v>
      </c>
      <c r="J5164" t="s">
        <v>21</v>
      </c>
      <c r="K5164">
        <v>0</v>
      </c>
      <c r="L5164" t="s">
        <v>35</v>
      </c>
      <c r="M5164">
        <v>933</v>
      </c>
    </row>
    <row r="5165" spans="1:13">
      <c r="A5165">
        <v>5159</v>
      </c>
      <c r="B5165">
        <v>77564</v>
      </c>
      <c r="C5165" t="s">
        <v>10934</v>
      </c>
      <c r="D5165" t="s">
        <v>441</v>
      </c>
      <c r="E5165" t="s">
        <v>10935</v>
      </c>
      <c r="F5165" t="str">
        <f>"00321494"</f>
        <v>00321494</v>
      </c>
      <c r="G5165" t="s">
        <v>1345</v>
      </c>
      <c r="H5165" t="s">
        <v>137</v>
      </c>
      <c r="I5165">
        <v>1606</v>
      </c>
      <c r="J5165" t="s">
        <v>21</v>
      </c>
      <c r="K5165">
        <v>0</v>
      </c>
      <c r="L5165" t="s">
        <v>35</v>
      </c>
      <c r="M5165">
        <v>1358</v>
      </c>
    </row>
    <row r="5166" spans="1:13">
      <c r="A5166">
        <v>5160</v>
      </c>
      <c r="B5166">
        <v>75790</v>
      </c>
      <c r="C5166" t="s">
        <v>10936</v>
      </c>
      <c r="D5166" t="s">
        <v>2251</v>
      </c>
      <c r="E5166" t="s">
        <v>10937</v>
      </c>
      <c r="F5166" t="str">
        <f>"201412005970"</f>
        <v>201412005970</v>
      </c>
      <c r="G5166" t="s">
        <v>211</v>
      </c>
      <c r="H5166" t="s">
        <v>20</v>
      </c>
      <c r="I5166">
        <v>1539</v>
      </c>
      <c r="J5166" t="s">
        <v>21</v>
      </c>
      <c r="K5166">
        <v>0</v>
      </c>
      <c r="L5166" t="s">
        <v>35</v>
      </c>
      <c r="M5166">
        <v>1108</v>
      </c>
    </row>
    <row r="5167" spans="1:13">
      <c r="A5167">
        <v>5161</v>
      </c>
      <c r="B5167">
        <v>112439</v>
      </c>
      <c r="C5167" t="s">
        <v>10938</v>
      </c>
      <c r="D5167" t="s">
        <v>105</v>
      </c>
      <c r="E5167" t="s">
        <v>10939</v>
      </c>
      <c r="F5167" t="str">
        <f>"00421903"</f>
        <v>00421903</v>
      </c>
      <c r="G5167" t="s">
        <v>1134</v>
      </c>
      <c r="H5167" t="s">
        <v>10940</v>
      </c>
      <c r="I5167">
        <v>1302</v>
      </c>
      <c r="J5167" t="s">
        <v>21</v>
      </c>
      <c r="K5167">
        <v>6</v>
      </c>
      <c r="M5167">
        <v>1138</v>
      </c>
    </row>
    <row r="5168" spans="1:13">
      <c r="A5168">
        <v>5162</v>
      </c>
      <c r="B5168">
        <v>97344</v>
      </c>
      <c r="C5168" t="s">
        <v>10941</v>
      </c>
      <c r="D5168" t="s">
        <v>105</v>
      </c>
      <c r="E5168" t="s">
        <v>10942</v>
      </c>
      <c r="F5168" t="str">
        <f>"00266323"</f>
        <v>00266323</v>
      </c>
      <c r="G5168" t="s">
        <v>603</v>
      </c>
      <c r="H5168" t="s">
        <v>20</v>
      </c>
      <c r="I5168">
        <v>1464</v>
      </c>
      <c r="J5168" t="s">
        <v>21</v>
      </c>
      <c r="K5168">
        <v>0</v>
      </c>
      <c r="L5168" t="s">
        <v>35</v>
      </c>
      <c r="M5168">
        <v>985</v>
      </c>
    </row>
    <row r="5169" spans="1:13">
      <c r="A5169">
        <v>5163</v>
      </c>
      <c r="B5169">
        <v>66026</v>
      </c>
      <c r="C5169" t="s">
        <v>10943</v>
      </c>
      <c r="D5169" t="s">
        <v>288</v>
      </c>
      <c r="E5169" t="s">
        <v>10944</v>
      </c>
      <c r="F5169" t="str">
        <f>"00102195"</f>
        <v>00102195</v>
      </c>
      <c r="G5169" t="s">
        <v>481</v>
      </c>
      <c r="H5169" t="s">
        <v>20</v>
      </c>
      <c r="I5169">
        <v>1547</v>
      </c>
      <c r="J5169" t="s">
        <v>21</v>
      </c>
      <c r="K5169">
        <v>0</v>
      </c>
      <c r="L5169" t="s">
        <v>59</v>
      </c>
      <c r="M5169">
        <v>1288</v>
      </c>
    </row>
    <row r="5170" spans="1:13">
      <c r="A5170">
        <v>5164</v>
      </c>
      <c r="B5170">
        <v>90753</v>
      </c>
      <c r="C5170" t="s">
        <v>10945</v>
      </c>
      <c r="D5170" t="s">
        <v>213</v>
      </c>
      <c r="E5170" t="s">
        <v>10946</v>
      </c>
      <c r="F5170" t="str">
        <f>"00398337"</f>
        <v>00398337</v>
      </c>
      <c r="G5170" t="s">
        <v>676</v>
      </c>
      <c r="H5170" t="s">
        <v>234</v>
      </c>
      <c r="I5170">
        <v>1338</v>
      </c>
      <c r="J5170" t="s">
        <v>21</v>
      </c>
      <c r="K5170">
        <v>6</v>
      </c>
      <c r="M5170">
        <v>1688</v>
      </c>
    </row>
    <row r="5171" spans="1:13">
      <c r="A5171">
        <v>5165</v>
      </c>
      <c r="B5171">
        <v>86525</v>
      </c>
      <c r="C5171" t="s">
        <v>10947</v>
      </c>
      <c r="D5171" t="s">
        <v>105</v>
      </c>
      <c r="E5171" t="s">
        <v>10948</v>
      </c>
      <c r="F5171" t="str">
        <f>"00257979"</f>
        <v>00257979</v>
      </c>
      <c r="G5171" t="s">
        <v>47</v>
      </c>
      <c r="H5171" t="s">
        <v>48</v>
      </c>
      <c r="I5171">
        <v>1623</v>
      </c>
      <c r="J5171" t="s">
        <v>21</v>
      </c>
      <c r="K5171">
        <v>0</v>
      </c>
      <c r="L5171" t="s">
        <v>59</v>
      </c>
      <c r="M5171">
        <v>988</v>
      </c>
    </row>
    <row r="5172" spans="1:13">
      <c r="A5172">
        <v>5166</v>
      </c>
      <c r="B5172">
        <v>103929</v>
      </c>
      <c r="C5172" t="s">
        <v>10949</v>
      </c>
      <c r="D5172" t="s">
        <v>1680</v>
      </c>
      <c r="E5172" t="s">
        <v>10950</v>
      </c>
      <c r="F5172" t="str">
        <f>"00399833"</f>
        <v>00399833</v>
      </c>
      <c r="G5172" t="s">
        <v>70</v>
      </c>
      <c r="H5172" t="s">
        <v>1377</v>
      </c>
      <c r="I5172">
        <v>1703</v>
      </c>
      <c r="J5172" t="s">
        <v>21</v>
      </c>
      <c r="K5172">
        <v>0</v>
      </c>
      <c r="L5172" t="s">
        <v>35</v>
      </c>
      <c r="M5172">
        <v>908</v>
      </c>
    </row>
    <row r="5173" spans="1:13">
      <c r="A5173">
        <v>5167</v>
      </c>
      <c r="B5173">
        <v>106283</v>
      </c>
      <c r="C5173" t="s">
        <v>10951</v>
      </c>
      <c r="D5173" t="s">
        <v>243</v>
      </c>
      <c r="E5173" t="s">
        <v>10952</v>
      </c>
      <c r="F5173" t="str">
        <f>"00350092"</f>
        <v>00350092</v>
      </c>
      <c r="G5173" t="s">
        <v>718</v>
      </c>
      <c r="H5173" t="s">
        <v>48</v>
      </c>
      <c r="I5173">
        <v>1625</v>
      </c>
      <c r="J5173" t="s">
        <v>21</v>
      </c>
      <c r="K5173">
        <v>0</v>
      </c>
      <c r="L5173" t="s">
        <v>59</v>
      </c>
      <c r="M5173">
        <v>1188</v>
      </c>
    </row>
    <row r="5174" spans="1:13">
      <c r="A5174">
        <v>5168</v>
      </c>
      <c r="B5174">
        <v>93581</v>
      </c>
      <c r="C5174" t="s">
        <v>10953</v>
      </c>
      <c r="D5174" t="s">
        <v>139</v>
      </c>
      <c r="E5174" t="s">
        <v>10954</v>
      </c>
      <c r="F5174" t="str">
        <f>"00388053"</f>
        <v>00388053</v>
      </c>
      <c r="G5174" t="s">
        <v>233</v>
      </c>
      <c r="H5174" t="s">
        <v>234</v>
      </c>
      <c r="I5174">
        <v>1339</v>
      </c>
      <c r="J5174" t="s">
        <v>21</v>
      </c>
      <c r="K5174">
        <v>6</v>
      </c>
      <c r="M5174">
        <v>1037</v>
      </c>
    </row>
    <row r="5175" spans="1:13">
      <c r="A5175">
        <v>5169</v>
      </c>
      <c r="B5175">
        <v>107686</v>
      </c>
      <c r="C5175" t="s">
        <v>10955</v>
      </c>
      <c r="D5175" t="s">
        <v>153</v>
      </c>
      <c r="E5175" t="s">
        <v>10956</v>
      </c>
      <c r="F5175" t="str">
        <f>"00422580"</f>
        <v>00422580</v>
      </c>
      <c r="G5175" t="s">
        <v>2031</v>
      </c>
      <c r="H5175" t="s">
        <v>137</v>
      </c>
      <c r="I5175">
        <v>1610</v>
      </c>
      <c r="J5175" t="s">
        <v>21</v>
      </c>
      <c r="K5175">
        <v>0</v>
      </c>
      <c r="L5175" t="s">
        <v>35</v>
      </c>
      <c r="M5175">
        <v>1221</v>
      </c>
    </row>
    <row r="5176" spans="1:13">
      <c r="A5176">
        <v>5170</v>
      </c>
      <c r="B5176">
        <v>86726</v>
      </c>
      <c r="C5176" t="s">
        <v>10957</v>
      </c>
      <c r="D5176" t="s">
        <v>10958</v>
      </c>
      <c r="E5176" t="s">
        <v>10959</v>
      </c>
      <c r="F5176" t="str">
        <f>"00382012"</f>
        <v>00382012</v>
      </c>
      <c r="G5176" t="s">
        <v>47</v>
      </c>
      <c r="H5176" t="s">
        <v>48</v>
      </c>
      <c r="I5176">
        <v>1623</v>
      </c>
      <c r="J5176" t="s">
        <v>21</v>
      </c>
      <c r="K5176">
        <v>0</v>
      </c>
      <c r="M5176">
        <v>1328</v>
      </c>
    </row>
    <row r="5177" spans="1:13">
      <c r="A5177">
        <v>5171</v>
      </c>
      <c r="B5177">
        <v>62338</v>
      </c>
      <c r="C5177" t="s">
        <v>10960</v>
      </c>
      <c r="D5177" t="s">
        <v>180</v>
      </c>
      <c r="E5177" t="s">
        <v>10961</v>
      </c>
      <c r="F5177" t="str">
        <f>"00309477"</f>
        <v>00309477</v>
      </c>
      <c r="G5177" t="s">
        <v>107</v>
      </c>
      <c r="H5177" t="s">
        <v>20</v>
      </c>
      <c r="I5177">
        <v>1472</v>
      </c>
      <c r="J5177" t="s">
        <v>21</v>
      </c>
      <c r="K5177">
        <v>0</v>
      </c>
      <c r="M5177">
        <v>1392</v>
      </c>
    </row>
    <row r="5178" spans="1:13">
      <c r="A5178">
        <v>5172</v>
      </c>
      <c r="B5178">
        <v>112600</v>
      </c>
      <c r="C5178" t="s">
        <v>10962</v>
      </c>
      <c r="D5178" t="s">
        <v>267</v>
      </c>
      <c r="E5178" t="s">
        <v>10963</v>
      </c>
      <c r="F5178" t="str">
        <f>"00415244"</f>
        <v>00415244</v>
      </c>
      <c r="G5178" t="s">
        <v>107</v>
      </c>
      <c r="H5178" t="s">
        <v>20</v>
      </c>
      <c r="I5178">
        <v>1472</v>
      </c>
      <c r="J5178" t="s">
        <v>21</v>
      </c>
      <c r="K5178">
        <v>0</v>
      </c>
      <c r="L5178" t="s">
        <v>35</v>
      </c>
      <c r="M5178">
        <v>908</v>
      </c>
    </row>
    <row r="5179" spans="1:13">
      <c r="A5179">
        <v>5173</v>
      </c>
      <c r="B5179">
        <v>88528</v>
      </c>
      <c r="C5179" t="s">
        <v>10964</v>
      </c>
      <c r="D5179" t="s">
        <v>90</v>
      </c>
      <c r="E5179" t="s">
        <v>10965</v>
      </c>
      <c r="F5179" t="str">
        <f>"00372467"</f>
        <v>00372467</v>
      </c>
      <c r="G5179" t="s">
        <v>3969</v>
      </c>
      <c r="H5179" t="s">
        <v>20</v>
      </c>
      <c r="I5179">
        <v>1517</v>
      </c>
      <c r="J5179" t="s">
        <v>21</v>
      </c>
      <c r="K5179">
        <v>0</v>
      </c>
      <c r="L5179" t="s">
        <v>35</v>
      </c>
      <c r="M5179">
        <v>1008</v>
      </c>
    </row>
    <row r="5180" spans="1:13">
      <c r="A5180">
        <v>5174</v>
      </c>
      <c r="B5180">
        <v>103126</v>
      </c>
      <c r="C5180" t="s">
        <v>10966</v>
      </c>
      <c r="D5180" t="s">
        <v>153</v>
      </c>
      <c r="E5180" t="s">
        <v>10967</v>
      </c>
      <c r="F5180" t="str">
        <f>"00396219"</f>
        <v>00396219</v>
      </c>
      <c r="G5180" t="s">
        <v>892</v>
      </c>
      <c r="H5180" t="s">
        <v>20</v>
      </c>
      <c r="I5180">
        <v>1410</v>
      </c>
      <c r="J5180" t="s">
        <v>21</v>
      </c>
      <c r="K5180">
        <v>0</v>
      </c>
      <c r="L5180" t="s">
        <v>35</v>
      </c>
      <c r="M5180">
        <v>908</v>
      </c>
    </row>
    <row r="5181" spans="1:13">
      <c r="A5181">
        <v>5175</v>
      </c>
      <c r="B5181">
        <v>85317</v>
      </c>
      <c r="C5181" t="s">
        <v>10968</v>
      </c>
      <c r="D5181" t="s">
        <v>109</v>
      </c>
      <c r="E5181" t="s">
        <v>10969</v>
      </c>
      <c r="F5181" t="str">
        <f>"00395123"</f>
        <v>00395123</v>
      </c>
      <c r="G5181" t="s">
        <v>19</v>
      </c>
      <c r="H5181" t="s">
        <v>20</v>
      </c>
      <c r="I5181">
        <v>1531</v>
      </c>
      <c r="J5181" t="s">
        <v>21</v>
      </c>
      <c r="K5181">
        <v>0</v>
      </c>
      <c r="L5181" t="s">
        <v>35</v>
      </c>
      <c r="M5181">
        <v>908</v>
      </c>
    </row>
    <row r="5182" spans="1:13">
      <c r="A5182">
        <v>5176</v>
      </c>
      <c r="B5182">
        <v>113556</v>
      </c>
      <c r="C5182" t="s">
        <v>10970</v>
      </c>
      <c r="D5182" t="s">
        <v>109</v>
      </c>
      <c r="E5182" t="s">
        <v>10971</v>
      </c>
      <c r="F5182" t="str">
        <f>"00421162"</f>
        <v>00421162</v>
      </c>
      <c r="G5182" t="s">
        <v>278</v>
      </c>
      <c r="H5182" t="s">
        <v>1499</v>
      </c>
      <c r="I5182">
        <v>1597</v>
      </c>
      <c r="J5182" t="s">
        <v>21</v>
      </c>
      <c r="K5182">
        <v>0</v>
      </c>
      <c r="M5182">
        <v>1508</v>
      </c>
    </row>
    <row r="5183" spans="1:13">
      <c r="A5183">
        <v>5177</v>
      </c>
      <c r="B5183">
        <v>67790</v>
      </c>
      <c r="C5183" t="s">
        <v>10972</v>
      </c>
      <c r="D5183" t="s">
        <v>10973</v>
      </c>
      <c r="E5183" t="s">
        <v>10974</v>
      </c>
      <c r="F5183" t="str">
        <f>"00281197"</f>
        <v>00281197</v>
      </c>
      <c r="G5183" t="s">
        <v>38</v>
      </c>
      <c r="H5183" t="s">
        <v>39</v>
      </c>
      <c r="I5183">
        <v>1634</v>
      </c>
      <c r="J5183" t="s">
        <v>21</v>
      </c>
      <c r="K5183">
        <v>6</v>
      </c>
      <c r="L5183" t="s">
        <v>401</v>
      </c>
      <c r="M5183">
        <v>888</v>
      </c>
    </row>
    <row r="5184" spans="1:13">
      <c r="A5184">
        <v>5178</v>
      </c>
      <c r="B5184">
        <v>105270</v>
      </c>
      <c r="C5184" t="s">
        <v>10975</v>
      </c>
      <c r="D5184" t="s">
        <v>321</v>
      </c>
      <c r="E5184" t="s">
        <v>10976</v>
      </c>
      <c r="F5184" t="str">
        <f>"00375136"</f>
        <v>00375136</v>
      </c>
      <c r="G5184" t="s">
        <v>488</v>
      </c>
      <c r="H5184" t="s">
        <v>20</v>
      </c>
      <c r="I5184">
        <v>1482</v>
      </c>
      <c r="J5184" t="s">
        <v>21</v>
      </c>
      <c r="K5184">
        <v>0</v>
      </c>
      <c r="L5184" t="s">
        <v>35</v>
      </c>
      <c r="M5184">
        <v>925</v>
      </c>
    </row>
    <row r="5185" spans="1:13">
      <c r="A5185">
        <v>5179</v>
      </c>
      <c r="B5185">
        <v>109105</v>
      </c>
      <c r="C5185" t="s">
        <v>10977</v>
      </c>
      <c r="D5185" t="s">
        <v>209</v>
      </c>
      <c r="E5185" t="s">
        <v>10978</v>
      </c>
      <c r="F5185" t="str">
        <f>"00291799"</f>
        <v>00291799</v>
      </c>
      <c r="G5185" t="s">
        <v>258</v>
      </c>
      <c r="H5185" t="s">
        <v>20</v>
      </c>
      <c r="I5185">
        <v>1484</v>
      </c>
      <c r="J5185" t="s">
        <v>21</v>
      </c>
      <c r="K5185">
        <v>0</v>
      </c>
      <c r="L5185" t="s">
        <v>59</v>
      </c>
      <c r="M5185">
        <v>936</v>
      </c>
    </row>
    <row r="5186" spans="1:13">
      <c r="A5186">
        <v>5180</v>
      </c>
      <c r="B5186">
        <v>108050</v>
      </c>
      <c r="C5186" t="s">
        <v>10979</v>
      </c>
      <c r="D5186" t="s">
        <v>180</v>
      </c>
      <c r="E5186" t="s">
        <v>10980</v>
      </c>
      <c r="F5186" t="str">
        <f>"00254031"</f>
        <v>00254031</v>
      </c>
      <c r="G5186" t="s">
        <v>87</v>
      </c>
      <c r="H5186" t="s">
        <v>20</v>
      </c>
      <c r="I5186">
        <v>1436</v>
      </c>
      <c r="J5186" t="s">
        <v>21</v>
      </c>
      <c r="K5186">
        <v>0</v>
      </c>
      <c r="M5186">
        <v>1328</v>
      </c>
    </row>
    <row r="5187" spans="1:13">
      <c r="A5187">
        <v>5181</v>
      </c>
      <c r="B5187">
        <v>82212</v>
      </c>
      <c r="C5187" t="s">
        <v>10981</v>
      </c>
      <c r="D5187" t="s">
        <v>90</v>
      </c>
      <c r="E5187" t="s">
        <v>10982</v>
      </c>
      <c r="F5187" t="str">
        <f>"00390043"</f>
        <v>00390043</v>
      </c>
      <c r="G5187" t="s">
        <v>2440</v>
      </c>
      <c r="H5187" t="s">
        <v>20</v>
      </c>
      <c r="I5187">
        <v>1567</v>
      </c>
      <c r="J5187" t="s">
        <v>21</v>
      </c>
      <c r="K5187">
        <v>0</v>
      </c>
      <c r="L5187" t="s">
        <v>35</v>
      </c>
      <c r="M5187">
        <v>1011</v>
      </c>
    </row>
    <row r="5188" spans="1:13">
      <c r="A5188">
        <v>5182</v>
      </c>
      <c r="B5188">
        <v>94728</v>
      </c>
      <c r="C5188" t="s">
        <v>10983</v>
      </c>
      <c r="D5188" t="s">
        <v>145</v>
      </c>
      <c r="E5188" t="s">
        <v>10984</v>
      </c>
      <c r="F5188" t="str">
        <f>"00385254"</f>
        <v>00385254</v>
      </c>
      <c r="G5188" t="s">
        <v>47</v>
      </c>
      <c r="H5188" t="s">
        <v>48</v>
      </c>
      <c r="I5188">
        <v>1623</v>
      </c>
      <c r="J5188" t="s">
        <v>21</v>
      </c>
      <c r="K5188">
        <v>0</v>
      </c>
      <c r="L5188" t="s">
        <v>35</v>
      </c>
      <c r="M5188">
        <v>885</v>
      </c>
    </row>
    <row r="5189" spans="1:13">
      <c r="A5189">
        <v>5183</v>
      </c>
      <c r="B5189">
        <v>107947</v>
      </c>
      <c r="C5189" t="s">
        <v>10985</v>
      </c>
      <c r="D5189" t="s">
        <v>90</v>
      </c>
      <c r="E5189" t="s">
        <v>10986</v>
      </c>
      <c r="F5189" t="str">
        <f>"00250727"</f>
        <v>00250727</v>
      </c>
      <c r="G5189" t="s">
        <v>245</v>
      </c>
      <c r="H5189" t="s">
        <v>20</v>
      </c>
      <c r="I5189">
        <v>1406</v>
      </c>
      <c r="J5189" t="s">
        <v>21</v>
      </c>
      <c r="K5189">
        <v>0</v>
      </c>
      <c r="M5189">
        <v>1428</v>
      </c>
    </row>
    <row r="5190" spans="1:13">
      <c r="A5190">
        <v>5184</v>
      </c>
      <c r="B5190">
        <v>70494</v>
      </c>
      <c r="C5190" t="s">
        <v>10987</v>
      </c>
      <c r="D5190" t="s">
        <v>905</v>
      </c>
      <c r="E5190" t="s">
        <v>10988</v>
      </c>
      <c r="F5190" t="str">
        <f>"00368784"</f>
        <v>00368784</v>
      </c>
      <c r="G5190" t="s">
        <v>837</v>
      </c>
      <c r="H5190" t="s">
        <v>20</v>
      </c>
      <c r="I5190">
        <v>1546</v>
      </c>
      <c r="J5190" t="s">
        <v>21</v>
      </c>
      <c r="K5190">
        <v>0</v>
      </c>
      <c r="M5190">
        <v>1628</v>
      </c>
    </row>
    <row r="5191" spans="1:13">
      <c r="A5191">
        <v>5185</v>
      </c>
      <c r="B5191">
        <v>100223</v>
      </c>
      <c r="C5191" t="s">
        <v>10989</v>
      </c>
      <c r="D5191" t="s">
        <v>1232</v>
      </c>
      <c r="E5191" t="s">
        <v>10990</v>
      </c>
      <c r="F5191" t="str">
        <f>"00309377"</f>
        <v>00309377</v>
      </c>
      <c r="G5191" t="s">
        <v>240</v>
      </c>
      <c r="H5191" t="s">
        <v>20</v>
      </c>
      <c r="I5191">
        <v>1535</v>
      </c>
      <c r="J5191" t="s">
        <v>21</v>
      </c>
      <c r="K5191">
        <v>6</v>
      </c>
      <c r="L5191" t="s">
        <v>25</v>
      </c>
      <c r="M5191">
        <v>1288</v>
      </c>
    </row>
    <row r="5192" spans="1:13">
      <c r="A5192">
        <v>5186</v>
      </c>
      <c r="B5192">
        <v>50738</v>
      </c>
      <c r="C5192" t="s">
        <v>10991</v>
      </c>
      <c r="D5192" t="s">
        <v>2251</v>
      </c>
      <c r="E5192" t="s">
        <v>10992</v>
      </c>
      <c r="F5192" t="str">
        <f>"00256436"</f>
        <v>00256436</v>
      </c>
      <c r="G5192" t="s">
        <v>294</v>
      </c>
      <c r="H5192" t="s">
        <v>1827</v>
      </c>
      <c r="I5192">
        <v>1700</v>
      </c>
      <c r="J5192" t="s">
        <v>21</v>
      </c>
      <c r="K5192">
        <v>0</v>
      </c>
      <c r="M5192">
        <v>1488</v>
      </c>
    </row>
    <row r="5193" spans="1:13">
      <c r="A5193">
        <v>5187</v>
      </c>
      <c r="B5193">
        <v>104781</v>
      </c>
      <c r="C5193" t="s">
        <v>10993</v>
      </c>
      <c r="D5193" t="s">
        <v>105</v>
      </c>
      <c r="E5193" t="s">
        <v>10994</v>
      </c>
      <c r="F5193" t="str">
        <f>"00401001"</f>
        <v>00401001</v>
      </c>
      <c r="G5193" t="s">
        <v>2031</v>
      </c>
      <c r="H5193" t="s">
        <v>137</v>
      </c>
      <c r="I5193">
        <v>1610</v>
      </c>
      <c r="J5193" t="s">
        <v>21</v>
      </c>
      <c r="K5193">
        <v>0</v>
      </c>
      <c r="L5193" t="s">
        <v>35</v>
      </c>
      <c r="M5193">
        <v>1000</v>
      </c>
    </row>
    <row r="5194" spans="1:13">
      <c r="A5194">
        <v>5188</v>
      </c>
      <c r="B5194">
        <v>52955</v>
      </c>
      <c r="C5194" t="s">
        <v>10995</v>
      </c>
      <c r="D5194" t="s">
        <v>105</v>
      </c>
      <c r="E5194" t="s">
        <v>10996</v>
      </c>
      <c r="F5194" t="str">
        <f>"00002754"</f>
        <v>00002754</v>
      </c>
      <c r="G5194" t="s">
        <v>798</v>
      </c>
      <c r="H5194" t="s">
        <v>326</v>
      </c>
      <c r="I5194">
        <v>1593</v>
      </c>
      <c r="J5194" t="s">
        <v>21</v>
      </c>
      <c r="K5194">
        <v>0</v>
      </c>
      <c r="L5194" t="s">
        <v>35</v>
      </c>
      <c r="M5194">
        <v>1008</v>
      </c>
    </row>
    <row r="5195" spans="1:13">
      <c r="A5195">
        <v>5189</v>
      </c>
      <c r="B5195">
        <v>60374</v>
      </c>
      <c r="C5195" t="s">
        <v>10997</v>
      </c>
      <c r="D5195" t="s">
        <v>1759</v>
      </c>
      <c r="E5195" t="s">
        <v>10998</v>
      </c>
      <c r="F5195" t="str">
        <f>"00300931"</f>
        <v>00300931</v>
      </c>
      <c r="G5195" t="s">
        <v>70</v>
      </c>
      <c r="H5195" t="s">
        <v>71</v>
      </c>
      <c r="I5195">
        <v>1702</v>
      </c>
      <c r="J5195" t="s">
        <v>21</v>
      </c>
      <c r="K5195">
        <v>0</v>
      </c>
      <c r="L5195" t="s">
        <v>88</v>
      </c>
      <c r="M5195">
        <v>675</v>
      </c>
    </row>
    <row r="5196" spans="1:13">
      <c r="A5196">
        <v>5190</v>
      </c>
      <c r="B5196">
        <v>63091</v>
      </c>
      <c r="C5196" t="s">
        <v>10999</v>
      </c>
      <c r="D5196" t="s">
        <v>85</v>
      </c>
      <c r="E5196" t="s">
        <v>11000</v>
      </c>
      <c r="F5196" t="str">
        <f>"201511026209"</f>
        <v>201511026209</v>
      </c>
      <c r="G5196" t="s">
        <v>19</v>
      </c>
      <c r="H5196" t="s">
        <v>20</v>
      </c>
      <c r="I5196">
        <v>1531</v>
      </c>
      <c r="J5196" t="s">
        <v>21</v>
      </c>
      <c r="K5196">
        <v>0</v>
      </c>
      <c r="M5196">
        <v>1343</v>
      </c>
    </row>
    <row r="5197" spans="1:13">
      <c r="A5197">
        <v>5191</v>
      </c>
      <c r="B5197">
        <v>112877</v>
      </c>
      <c r="C5197" t="s">
        <v>11001</v>
      </c>
      <c r="D5197" t="s">
        <v>130</v>
      </c>
      <c r="E5197" t="s">
        <v>11002</v>
      </c>
      <c r="F5197" t="str">
        <f>"00418257"</f>
        <v>00418257</v>
      </c>
      <c r="G5197" t="s">
        <v>683</v>
      </c>
      <c r="H5197" t="s">
        <v>535</v>
      </c>
      <c r="I5197">
        <v>1670</v>
      </c>
      <c r="J5197" t="s">
        <v>21</v>
      </c>
      <c r="K5197">
        <v>0</v>
      </c>
      <c r="L5197" t="s">
        <v>35</v>
      </c>
      <c r="M5197">
        <v>1008</v>
      </c>
    </row>
    <row r="5198" spans="1:13">
      <c r="A5198">
        <v>5192</v>
      </c>
      <c r="B5198">
        <v>70055</v>
      </c>
      <c r="C5198" t="s">
        <v>11003</v>
      </c>
      <c r="D5198" t="s">
        <v>130</v>
      </c>
      <c r="E5198" t="s">
        <v>11004</v>
      </c>
      <c r="F5198" t="str">
        <f>"00402596"</f>
        <v>00402596</v>
      </c>
      <c r="G5198" t="s">
        <v>38</v>
      </c>
      <c r="H5198" t="s">
        <v>39</v>
      </c>
      <c r="I5198">
        <v>1634</v>
      </c>
      <c r="J5198" t="s">
        <v>21</v>
      </c>
      <c r="K5198">
        <v>6</v>
      </c>
      <c r="L5198" t="s">
        <v>35</v>
      </c>
      <c r="M5198">
        <v>845</v>
      </c>
    </row>
    <row r="5199" spans="1:13">
      <c r="A5199">
        <v>5193</v>
      </c>
      <c r="B5199">
        <v>85618</v>
      </c>
      <c r="C5199" t="s">
        <v>11005</v>
      </c>
      <c r="D5199" t="s">
        <v>94</v>
      </c>
      <c r="E5199" t="s">
        <v>11006</v>
      </c>
      <c r="F5199" t="str">
        <f>"00143858"</f>
        <v>00143858</v>
      </c>
      <c r="G5199" t="s">
        <v>96</v>
      </c>
      <c r="H5199" t="s">
        <v>20</v>
      </c>
      <c r="I5199">
        <v>1474</v>
      </c>
      <c r="J5199" t="s">
        <v>21</v>
      </c>
      <c r="K5199">
        <v>0</v>
      </c>
      <c r="L5199" t="s">
        <v>35</v>
      </c>
      <c r="M5199">
        <v>1025</v>
      </c>
    </row>
    <row r="5200" spans="1:13">
      <c r="A5200">
        <v>5194</v>
      </c>
      <c r="B5200">
        <v>115907</v>
      </c>
      <c r="C5200" t="s">
        <v>11007</v>
      </c>
      <c r="D5200" t="s">
        <v>145</v>
      </c>
      <c r="E5200" t="s">
        <v>11008</v>
      </c>
      <c r="F5200" t="str">
        <f>"00095990"</f>
        <v>00095990</v>
      </c>
      <c r="G5200" t="s">
        <v>87</v>
      </c>
      <c r="H5200" t="s">
        <v>20</v>
      </c>
      <c r="I5200">
        <v>1436</v>
      </c>
      <c r="J5200" t="s">
        <v>21</v>
      </c>
      <c r="K5200">
        <v>0</v>
      </c>
      <c r="L5200" t="s">
        <v>35</v>
      </c>
      <c r="M5200">
        <v>900</v>
      </c>
    </row>
    <row r="5201" spans="1:13">
      <c r="A5201">
        <v>5195</v>
      </c>
      <c r="B5201">
        <v>101627</v>
      </c>
      <c r="C5201" t="s">
        <v>11009</v>
      </c>
      <c r="D5201" t="s">
        <v>1385</v>
      </c>
      <c r="E5201" t="s">
        <v>11010</v>
      </c>
      <c r="F5201" t="str">
        <f>"00403107"</f>
        <v>00403107</v>
      </c>
      <c r="G5201" t="s">
        <v>278</v>
      </c>
      <c r="H5201" t="s">
        <v>1499</v>
      </c>
      <c r="I5201">
        <v>1597</v>
      </c>
      <c r="J5201" t="s">
        <v>21</v>
      </c>
      <c r="K5201">
        <v>0</v>
      </c>
      <c r="M5201">
        <v>1428</v>
      </c>
    </row>
    <row r="5202" spans="1:13">
      <c r="A5202">
        <v>5196</v>
      </c>
      <c r="B5202">
        <v>110484</v>
      </c>
      <c r="C5202" t="s">
        <v>11011</v>
      </c>
      <c r="D5202" t="s">
        <v>105</v>
      </c>
      <c r="E5202" t="s">
        <v>11012</v>
      </c>
      <c r="F5202" t="str">
        <f>"00075055"</f>
        <v>00075055</v>
      </c>
      <c r="G5202" t="s">
        <v>294</v>
      </c>
      <c r="H5202" t="s">
        <v>20</v>
      </c>
      <c r="I5202">
        <v>1421</v>
      </c>
      <c r="J5202" t="s">
        <v>21</v>
      </c>
      <c r="K5202">
        <v>0</v>
      </c>
      <c r="L5202" t="s">
        <v>35</v>
      </c>
      <c r="M5202">
        <v>1100</v>
      </c>
    </row>
    <row r="5203" spans="1:13">
      <c r="A5203">
        <v>5197</v>
      </c>
      <c r="B5203">
        <v>73865</v>
      </c>
      <c r="C5203" t="s">
        <v>11013</v>
      </c>
      <c r="D5203" t="s">
        <v>213</v>
      </c>
      <c r="E5203" t="s">
        <v>11014</v>
      </c>
      <c r="F5203" t="str">
        <f>"00306167"</f>
        <v>00306167</v>
      </c>
      <c r="G5203" t="s">
        <v>1005</v>
      </c>
      <c r="H5203" t="s">
        <v>20</v>
      </c>
      <c r="I5203">
        <v>1580</v>
      </c>
      <c r="J5203" t="s">
        <v>21</v>
      </c>
      <c r="K5203">
        <v>6</v>
      </c>
      <c r="L5203" t="s">
        <v>59</v>
      </c>
      <c r="M5203">
        <v>1218</v>
      </c>
    </row>
    <row r="5204" spans="1:13">
      <c r="A5204">
        <v>5198</v>
      </c>
      <c r="B5204">
        <v>109910</v>
      </c>
      <c r="C5204" t="s">
        <v>11015</v>
      </c>
      <c r="D5204" t="s">
        <v>145</v>
      </c>
      <c r="E5204" t="s">
        <v>11016</v>
      </c>
      <c r="F5204" t="str">
        <f>"00421609"</f>
        <v>00421609</v>
      </c>
      <c r="G5204" t="s">
        <v>626</v>
      </c>
      <c r="H5204" t="s">
        <v>234</v>
      </c>
      <c r="I5204">
        <v>1327</v>
      </c>
      <c r="J5204" t="s">
        <v>21</v>
      </c>
      <c r="K5204">
        <v>0</v>
      </c>
      <c r="M5204">
        <v>1638</v>
      </c>
    </row>
    <row r="5205" spans="1:13">
      <c r="A5205">
        <v>5199</v>
      </c>
      <c r="B5205">
        <v>65561</v>
      </c>
      <c r="C5205" t="s">
        <v>11017</v>
      </c>
      <c r="D5205" t="s">
        <v>249</v>
      </c>
      <c r="E5205" t="s">
        <v>11018</v>
      </c>
      <c r="F5205" t="str">
        <f>"00362109"</f>
        <v>00362109</v>
      </c>
      <c r="G5205" t="s">
        <v>1695</v>
      </c>
      <c r="H5205" t="s">
        <v>20</v>
      </c>
      <c r="I5205">
        <v>1533</v>
      </c>
      <c r="J5205" t="s">
        <v>21</v>
      </c>
      <c r="K5205">
        <v>0</v>
      </c>
      <c r="L5205" t="s">
        <v>35</v>
      </c>
      <c r="M5205">
        <v>875</v>
      </c>
    </row>
    <row r="5206" spans="1:13">
      <c r="A5206">
        <v>5200</v>
      </c>
      <c r="B5206">
        <v>97411</v>
      </c>
      <c r="C5206" t="s">
        <v>11019</v>
      </c>
      <c r="D5206" t="s">
        <v>98</v>
      </c>
      <c r="E5206" t="s">
        <v>11020</v>
      </c>
      <c r="F5206" t="str">
        <f>"00314357"</f>
        <v>00314357</v>
      </c>
      <c r="G5206" t="s">
        <v>7406</v>
      </c>
      <c r="H5206" t="s">
        <v>1610</v>
      </c>
      <c r="I5206">
        <v>1307</v>
      </c>
      <c r="J5206" t="s">
        <v>21</v>
      </c>
      <c r="K5206">
        <v>0</v>
      </c>
      <c r="M5206">
        <v>1919</v>
      </c>
    </row>
    <row r="5207" spans="1:13">
      <c r="A5207">
        <v>5201</v>
      </c>
      <c r="B5207">
        <v>57419</v>
      </c>
      <c r="C5207" t="s">
        <v>11021</v>
      </c>
      <c r="D5207" t="s">
        <v>109</v>
      </c>
      <c r="E5207" t="s">
        <v>11022</v>
      </c>
      <c r="F5207" t="str">
        <f>"200906000248"</f>
        <v>200906000248</v>
      </c>
      <c r="G5207" t="s">
        <v>955</v>
      </c>
      <c r="H5207" t="s">
        <v>48</v>
      </c>
      <c r="I5207">
        <v>1630</v>
      </c>
      <c r="J5207" t="s">
        <v>21</v>
      </c>
      <c r="K5207">
        <v>0</v>
      </c>
      <c r="M5207">
        <v>1428</v>
      </c>
    </row>
    <row r="5208" spans="1:13">
      <c r="A5208">
        <v>5202</v>
      </c>
      <c r="B5208">
        <v>98505</v>
      </c>
      <c r="C5208" t="s">
        <v>11023</v>
      </c>
      <c r="D5208" t="s">
        <v>85</v>
      </c>
      <c r="E5208" t="s">
        <v>11024</v>
      </c>
      <c r="F5208" t="str">
        <f>"00252567"</f>
        <v>00252567</v>
      </c>
      <c r="G5208" t="s">
        <v>150</v>
      </c>
      <c r="H5208" t="s">
        <v>151</v>
      </c>
      <c r="I5208">
        <v>1699</v>
      </c>
      <c r="J5208" t="s">
        <v>21</v>
      </c>
      <c r="K5208">
        <v>0</v>
      </c>
      <c r="L5208" t="s">
        <v>88</v>
      </c>
      <c r="M5208">
        <v>475</v>
      </c>
    </row>
    <row r="5209" spans="1:13">
      <c r="A5209">
        <v>5203</v>
      </c>
      <c r="B5209">
        <v>59545</v>
      </c>
      <c r="C5209" t="s">
        <v>11025</v>
      </c>
      <c r="D5209" t="s">
        <v>80</v>
      </c>
      <c r="E5209" t="s">
        <v>11026</v>
      </c>
      <c r="F5209" t="str">
        <f>"00248483"</f>
        <v>00248483</v>
      </c>
      <c r="G5209" t="s">
        <v>583</v>
      </c>
      <c r="H5209" t="s">
        <v>137</v>
      </c>
      <c r="I5209">
        <v>1601</v>
      </c>
      <c r="J5209" t="s">
        <v>21</v>
      </c>
      <c r="K5209">
        <v>0</v>
      </c>
      <c r="M5209">
        <v>1428</v>
      </c>
    </row>
    <row r="5210" spans="1:13">
      <c r="A5210">
        <v>5204</v>
      </c>
      <c r="B5210">
        <v>115564</v>
      </c>
      <c r="C5210" t="s">
        <v>11027</v>
      </c>
      <c r="D5210" t="s">
        <v>444</v>
      </c>
      <c r="E5210" t="s">
        <v>11028</v>
      </c>
      <c r="F5210" t="str">
        <f>"00419368"</f>
        <v>00419368</v>
      </c>
      <c r="G5210" t="s">
        <v>47</v>
      </c>
      <c r="H5210" t="s">
        <v>48</v>
      </c>
      <c r="I5210">
        <v>1623</v>
      </c>
      <c r="J5210" t="s">
        <v>21</v>
      </c>
      <c r="K5210">
        <v>0</v>
      </c>
      <c r="L5210" t="s">
        <v>2999</v>
      </c>
      <c r="M5210">
        <v>650</v>
      </c>
    </row>
    <row r="5211" spans="1:13">
      <c r="A5211">
        <v>5205</v>
      </c>
      <c r="B5211">
        <v>110270</v>
      </c>
      <c r="C5211" t="s">
        <v>11029</v>
      </c>
      <c r="D5211" t="s">
        <v>11030</v>
      </c>
      <c r="E5211" t="s">
        <v>11031</v>
      </c>
      <c r="F5211" t="str">
        <f>"00330071"</f>
        <v>00330071</v>
      </c>
      <c r="G5211" t="s">
        <v>240</v>
      </c>
      <c r="H5211" t="s">
        <v>20</v>
      </c>
      <c r="I5211">
        <v>1535</v>
      </c>
      <c r="J5211" t="s">
        <v>21</v>
      </c>
      <c r="K5211">
        <v>6</v>
      </c>
      <c r="L5211" t="s">
        <v>35</v>
      </c>
      <c r="M5211">
        <v>1008</v>
      </c>
    </row>
    <row r="5212" spans="1:13">
      <c r="A5212">
        <v>5206</v>
      </c>
      <c r="B5212">
        <v>59731</v>
      </c>
      <c r="C5212" t="s">
        <v>11032</v>
      </c>
      <c r="D5212" t="s">
        <v>6538</v>
      </c>
      <c r="E5212" t="s">
        <v>11033</v>
      </c>
      <c r="F5212" t="str">
        <f>"00371724"</f>
        <v>00371724</v>
      </c>
      <c r="G5212" t="s">
        <v>215</v>
      </c>
      <c r="H5212" t="s">
        <v>216</v>
      </c>
      <c r="I5212">
        <v>1708</v>
      </c>
      <c r="J5212" t="s">
        <v>21</v>
      </c>
      <c r="K5212">
        <v>6</v>
      </c>
      <c r="L5212" t="s">
        <v>35</v>
      </c>
      <c r="M5212">
        <v>1234</v>
      </c>
    </row>
    <row r="5213" spans="1:13">
      <c r="A5213">
        <v>5207</v>
      </c>
      <c r="B5213">
        <v>75983</v>
      </c>
      <c r="C5213" t="s">
        <v>11034</v>
      </c>
      <c r="D5213" t="s">
        <v>76</v>
      </c>
      <c r="E5213" t="s">
        <v>11035</v>
      </c>
      <c r="F5213" t="str">
        <f>"201604002078"</f>
        <v>201604002078</v>
      </c>
      <c r="G5213" t="s">
        <v>371</v>
      </c>
      <c r="H5213" t="s">
        <v>20</v>
      </c>
      <c r="I5213">
        <v>1526</v>
      </c>
      <c r="J5213" t="s">
        <v>21</v>
      </c>
      <c r="K5213">
        <v>6</v>
      </c>
      <c r="L5213" t="s">
        <v>112</v>
      </c>
      <c r="M5213">
        <v>0</v>
      </c>
    </row>
    <row r="5214" spans="1:13">
      <c r="A5214">
        <v>5208</v>
      </c>
      <c r="B5214">
        <v>115156</v>
      </c>
      <c r="C5214" t="s">
        <v>11036</v>
      </c>
      <c r="D5214" t="s">
        <v>249</v>
      </c>
      <c r="E5214" t="s">
        <v>11037</v>
      </c>
      <c r="F5214" t="str">
        <f>"00045909"</f>
        <v>00045909</v>
      </c>
      <c r="G5214" t="s">
        <v>1753</v>
      </c>
      <c r="H5214" t="s">
        <v>20</v>
      </c>
      <c r="I5214">
        <v>1544</v>
      </c>
      <c r="J5214" t="s">
        <v>21</v>
      </c>
      <c r="K5214">
        <v>0</v>
      </c>
      <c r="M5214">
        <v>1500</v>
      </c>
    </row>
    <row r="5215" spans="1:13">
      <c r="A5215">
        <v>5209</v>
      </c>
      <c r="B5215">
        <v>110480</v>
      </c>
      <c r="C5215" t="s">
        <v>11038</v>
      </c>
      <c r="D5215" t="s">
        <v>105</v>
      </c>
      <c r="E5215" t="s">
        <v>11039</v>
      </c>
      <c r="F5215" t="str">
        <f>"00341823"</f>
        <v>00341823</v>
      </c>
      <c r="G5215" t="s">
        <v>87</v>
      </c>
      <c r="H5215" t="s">
        <v>20</v>
      </c>
      <c r="I5215">
        <v>1436</v>
      </c>
      <c r="J5215" t="s">
        <v>21</v>
      </c>
      <c r="K5215">
        <v>0</v>
      </c>
      <c r="L5215" t="s">
        <v>35</v>
      </c>
      <c r="M5215">
        <v>934</v>
      </c>
    </row>
    <row r="5216" spans="1:13">
      <c r="A5216">
        <v>5210</v>
      </c>
      <c r="B5216">
        <v>83873</v>
      </c>
      <c r="C5216" t="s">
        <v>11040</v>
      </c>
      <c r="D5216" t="s">
        <v>163</v>
      </c>
      <c r="E5216" t="s">
        <v>11041</v>
      </c>
      <c r="F5216" t="str">
        <f>"00398129"</f>
        <v>00398129</v>
      </c>
      <c r="G5216" t="s">
        <v>67</v>
      </c>
      <c r="H5216" t="s">
        <v>20</v>
      </c>
      <c r="I5216">
        <v>1434</v>
      </c>
      <c r="J5216" t="s">
        <v>21</v>
      </c>
      <c r="K5216">
        <v>0</v>
      </c>
      <c r="L5216" t="s">
        <v>35</v>
      </c>
      <c r="M5216">
        <v>883</v>
      </c>
    </row>
    <row r="5217" spans="1:13">
      <c r="A5217">
        <v>5211</v>
      </c>
      <c r="B5217">
        <v>70725</v>
      </c>
      <c r="C5217" t="s">
        <v>11042</v>
      </c>
      <c r="D5217" t="s">
        <v>105</v>
      </c>
      <c r="E5217" t="s">
        <v>11043</v>
      </c>
      <c r="F5217" t="str">
        <f>"00196567"</f>
        <v>00196567</v>
      </c>
      <c r="G5217" t="s">
        <v>92</v>
      </c>
      <c r="H5217" t="s">
        <v>20</v>
      </c>
      <c r="I5217">
        <v>1425</v>
      </c>
      <c r="J5217" t="s">
        <v>21</v>
      </c>
      <c r="K5217">
        <v>0</v>
      </c>
      <c r="L5217" t="s">
        <v>35</v>
      </c>
      <c r="M5217">
        <v>1258</v>
      </c>
    </row>
    <row r="5218" spans="1:13">
      <c r="A5218">
        <v>5212</v>
      </c>
      <c r="B5218">
        <v>73412</v>
      </c>
      <c r="C5218" t="s">
        <v>11044</v>
      </c>
      <c r="D5218" t="s">
        <v>145</v>
      </c>
      <c r="E5218" t="s">
        <v>11045</v>
      </c>
      <c r="F5218" t="str">
        <f>"00257655"</f>
        <v>00257655</v>
      </c>
      <c r="G5218" t="s">
        <v>63</v>
      </c>
      <c r="H5218" t="s">
        <v>20</v>
      </c>
      <c r="I5218">
        <v>1576</v>
      </c>
      <c r="J5218" t="s">
        <v>21</v>
      </c>
      <c r="K5218">
        <v>0</v>
      </c>
      <c r="L5218" t="s">
        <v>35</v>
      </c>
      <c r="M5218">
        <v>908</v>
      </c>
    </row>
    <row r="5219" spans="1:13">
      <c r="A5219">
        <v>5213</v>
      </c>
      <c r="B5219">
        <v>101632</v>
      </c>
      <c r="C5219" t="s">
        <v>11046</v>
      </c>
      <c r="D5219" t="s">
        <v>218</v>
      </c>
      <c r="E5219" t="s">
        <v>11047</v>
      </c>
      <c r="F5219" t="str">
        <f>"00404271"</f>
        <v>00404271</v>
      </c>
      <c r="G5219" t="s">
        <v>2025</v>
      </c>
      <c r="H5219" t="s">
        <v>20</v>
      </c>
      <c r="I5219">
        <v>1570</v>
      </c>
      <c r="J5219" t="s">
        <v>21</v>
      </c>
      <c r="K5219">
        <v>6</v>
      </c>
      <c r="L5219" t="s">
        <v>35</v>
      </c>
      <c r="M5219">
        <v>1200</v>
      </c>
    </row>
    <row r="5220" spans="1:13">
      <c r="A5220">
        <v>5214</v>
      </c>
      <c r="B5220">
        <v>78504</v>
      </c>
      <c r="C5220" t="s">
        <v>11048</v>
      </c>
      <c r="D5220" t="s">
        <v>495</v>
      </c>
      <c r="E5220" t="s">
        <v>11049</v>
      </c>
      <c r="F5220" t="str">
        <f>"00176161"</f>
        <v>00176161</v>
      </c>
      <c r="G5220" t="s">
        <v>1595</v>
      </c>
      <c r="H5220" t="s">
        <v>20</v>
      </c>
      <c r="I5220">
        <v>1538</v>
      </c>
      <c r="J5220" t="s">
        <v>21</v>
      </c>
      <c r="K5220">
        <v>6</v>
      </c>
      <c r="L5220" t="s">
        <v>59</v>
      </c>
      <c r="M5220">
        <v>688</v>
      </c>
    </row>
    <row r="5221" spans="1:13">
      <c r="A5221">
        <v>5215</v>
      </c>
      <c r="B5221">
        <v>65206</v>
      </c>
      <c r="C5221" t="s">
        <v>11050</v>
      </c>
      <c r="D5221" t="s">
        <v>249</v>
      </c>
      <c r="E5221" t="s">
        <v>11051</v>
      </c>
      <c r="F5221" t="str">
        <f>"00359970"</f>
        <v>00359970</v>
      </c>
      <c r="G5221" t="s">
        <v>1079</v>
      </c>
      <c r="H5221" t="s">
        <v>20</v>
      </c>
      <c r="I5221">
        <v>1433</v>
      </c>
      <c r="J5221" t="s">
        <v>21</v>
      </c>
      <c r="K5221">
        <v>0</v>
      </c>
      <c r="L5221" t="s">
        <v>35</v>
      </c>
      <c r="M5221">
        <v>1000</v>
      </c>
    </row>
    <row r="5222" spans="1:13">
      <c r="A5222">
        <v>5216</v>
      </c>
      <c r="B5222">
        <v>108975</v>
      </c>
      <c r="C5222" t="s">
        <v>11052</v>
      </c>
      <c r="D5222" t="s">
        <v>102</v>
      </c>
      <c r="E5222" t="s">
        <v>11053</v>
      </c>
      <c r="F5222" t="str">
        <f>"00400581"</f>
        <v>00400581</v>
      </c>
      <c r="G5222" t="s">
        <v>7326</v>
      </c>
      <c r="H5222" t="s">
        <v>137</v>
      </c>
      <c r="I5222">
        <v>1613</v>
      </c>
      <c r="J5222" t="s">
        <v>21</v>
      </c>
      <c r="K5222">
        <v>6</v>
      </c>
      <c r="L5222" t="s">
        <v>59</v>
      </c>
      <c r="M5222">
        <v>1070</v>
      </c>
    </row>
    <row r="5223" spans="1:13">
      <c r="A5223">
        <v>5217</v>
      </c>
      <c r="B5223">
        <v>102428</v>
      </c>
      <c r="C5223" t="s">
        <v>11054</v>
      </c>
      <c r="D5223" t="s">
        <v>80</v>
      </c>
      <c r="E5223" t="s">
        <v>11055</v>
      </c>
      <c r="F5223" t="str">
        <f>"00189350"</f>
        <v>00189350</v>
      </c>
      <c r="G5223" t="s">
        <v>344</v>
      </c>
      <c r="H5223" t="s">
        <v>137</v>
      </c>
      <c r="I5223">
        <v>1614</v>
      </c>
      <c r="J5223" t="s">
        <v>21</v>
      </c>
      <c r="K5223">
        <v>0</v>
      </c>
      <c r="M5223">
        <v>1288</v>
      </c>
    </row>
    <row r="5224" spans="1:13">
      <c r="A5224">
        <v>5218</v>
      </c>
      <c r="B5224">
        <v>46689</v>
      </c>
      <c r="C5224" t="s">
        <v>11056</v>
      </c>
      <c r="D5224" t="s">
        <v>76</v>
      </c>
      <c r="E5224" t="s">
        <v>11057</v>
      </c>
      <c r="F5224" t="str">
        <f>"00317355"</f>
        <v>00317355</v>
      </c>
      <c r="G5224" t="s">
        <v>2698</v>
      </c>
      <c r="H5224" t="s">
        <v>216</v>
      </c>
      <c r="I5224">
        <v>1709</v>
      </c>
      <c r="J5224" t="s">
        <v>21</v>
      </c>
      <c r="K5224">
        <v>0</v>
      </c>
      <c r="L5224" t="s">
        <v>35</v>
      </c>
      <c r="M5224">
        <v>1074</v>
      </c>
    </row>
    <row r="5225" spans="1:13">
      <c r="A5225">
        <v>5219</v>
      </c>
      <c r="B5225">
        <v>111874</v>
      </c>
      <c r="C5225" t="s">
        <v>11058</v>
      </c>
      <c r="D5225" t="s">
        <v>121</v>
      </c>
      <c r="E5225" t="s">
        <v>11059</v>
      </c>
      <c r="F5225" t="str">
        <f>"00026873"</f>
        <v>00026873</v>
      </c>
      <c r="G5225" t="s">
        <v>1890</v>
      </c>
      <c r="H5225" t="s">
        <v>3499</v>
      </c>
      <c r="I5225">
        <v>1672</v>
      </c>
      <c r="J5225" t="s">
        <v>21</v>
      </c>
      <c r="K5225">
        <v>0</v>
      </c>
      <c r="L5225" t="s">
        <v>88</v>
      </c>
      <c r="M5225">
        <v>650</v>
      </c>
    </row>
    <row r="5226" spans="1:13">
      <c r="A5226">
        <v>5220</v>
      </c>
      <c r="B5226">
        <v>72776</v>
      </c>
      <c r="C5226" t="s">
        <v>11060</v>
      </c>
      <c r="D5226" t="s">
        <v>73</v>
      </c>
      <c r="E5226" t="s">
        <v>11061</v>
      </c>
      <c r="F5226" t="str">
        <f>"00255634"</f>
        <v>00255634</v>
      </c>
      <c r="G5226" t="s">
        <v>240</v>
      </c>
      <c r="H5226" t="s">
        <v>20</v>
      </c>
      <c r="I5226">
        <v>1535</v>
      </c>
      <c r="J5226" t="s">
        <v>21</v>
      </c>
      <c r="K5226">
        <v>6</v>
      </c>
      <c r="L5226" t="s">
        <v>59</v>
      </c>
      <c r="M5226">
        <v>928</v>
      </c>
    </row>
    <row r="5227" spans="1:13">
      <c r="A5227">
        <v>5221</v>
      </c>
      <c r="B5227">
        <v>96120</v>
      </c>
      <c r="C5227" t="s">
        <v>11062</v>
      </c>
      <c r="D5227" t="s">
        <v>90</v>
      </c>
      <c r="E5227" t="s">
        <v>11063</v>
      </c>
      <c r="F5227" t="str">
        <f>"00372554"</f>
        <v>00372554</v>
      </c>
      <c r="G5227" t="s">
        <v>1203</v>
      </c>
      <c r="H5227" t="s">
        <v>20</v>
      </c>
      <c r="I5227">
        <v>1443</v>
      </c>
      <c r="J5227" t="s">
        <v>21</v>
      </c>
      <c r="K5227">
        <v>0</v>
      </c>
      <c r="M5227">
        <v>1500</v>
      </c>
    </row>
    <row r="5228" spans="1:13">
      <c r="A5228">
        <v>5222</v>
      </c>
      <c r="B5228">
        <v>82323</v>
      </c>
      <c r="C5228" t="s">
        <v>11064</v>
      </c>
      <c r="D5228" t="s">
        <v>180</v>
      </c>
      <c r="E5228" t="s">
        <v>11065</v>
      </c>
      <c r="F5228" t="str">
        <f>"00023638"</f>
        <v>00023638</v>
      </c>
      <c r="G5228" t="s">
        <v>150</v>
      </c>
      <c r="H5228" t="s">
        <v>151</v>
      </c>
      <c r="I5228">
        <v>1699</v>
      </c>
      <c r="J5228" t="s">
        <v>21</v>
      </c>
      <c r="K5228">
        <v>0</v>
      </c>
      <c r="L5228" t="s">
        <v>35</v>
      </c>
      <c r="M5228">
        <v>850</v>
      </c>
    </row>
    <row r="5229" spans="1:13">
      <c r="A5229">
        <v>5223</v>
      </c>
      <c r="B5229">
        <v>66725</v>
      </c>
      <c r="C5229" t="s">
        <v>11066</v>
      </c>
      <c r="D5229" t="s">
        <v>213</v>
      </c>
      <c r="E5229" t="s">
        <v>11067</v>
      </c>
      <c r="F5229" t="str">
        <f>"201411001758"</f>
        <v>201411001758</v>
      </c>
      <c r="G5229" t="s">
        <v>883</v>
      </c>
      <c r="H5229" t="s">
        <v>270</v>
      </c>
      <c r="I5229">
        <v>1585</v>
      </c>
      <c r="J5229" t="s">
        <v>21</v>
      </c>
      <c r="K5229">
        <v>0</v>
      </c>
      <c r="L5229" t="s">
        <v>35</v>
      </c>
      <c r="M5229">
        <v>936</v>
      </c>
    </row>
    <row r="5230" spans="1:13">
      <c r="A5230">
        <v>5224</v>
      </c>
      <c r="B5230">
        <v>97686</v>
      </c>
      <c r="C5230" t="s">
        <v>11068</v>
      </c>
      <c r="D5230" t="s">
        <v>566</v>
      </c>
      <c r="E5230" t="s">
        <v>11069</v>
      </c>
      <c r="F5230" t="str">
        <f>"00381538"</f>
        <v>00381538</v>
      </c>
      <c r="G5230" t="s">
        <v>47</v>
      </c>
      <c r="H5230" t="s">
        <v>48</v>
      </c>
      <c r="I5230">
        <v>1623</v>
      </c>
      <c r="J5230" t="s">
        <v>21</v>
      </c>
      <c r="K5230">
        <v>0</v>
      </c>
      <c r="L5230" t="s">
        <v>88</v>
      </c>
      <c r="M5230">
        <v>525</v>
      </c>
    </row>
    <row r="5231" spans="1:13">
      <c r="A5231">
        <v>5225</v>
      </c>
      <c r="B5231">
        <v>83678</v>
      </c>
      <c r="C5231" t="s">
        <v>11070</v>
      </c>
      <c r="D5231" t="s">
        <v>80</v>
      </c>
      <c r="E5231" t="s">
        <v>11071</v>
      </c>
      <c r="F5231" t="str">
        <f>"00387104"</f>
        <v>00387104</v>
      </c>
      <c r="G5231" t="s">
        <v>125</v>
      </c>
      <c r="H5231" t="s">
        <v>20</v>
      </c>
      <c r="I5231">
        <v>1507</v>
      </c>
      <c r="J5231" t="s">
        <v>21</v>
      </c>
      <c r="K5231">
        <v>0</v>
      </c>
      <c r="L5231" t="s">
        <v>35</v>
      </c>
      <c r="M5231">
        <v>958</v>
      </c>
    </row>
    <row r="5232" spans="1:13">
      <c r="A5232">
        <v>5226</v>
      </c>
      <c r="B5232">
        <v>99342</v>
      </c>
      <c r="C5232" t="s">
        <v>11072</v>
      </c>
      <c r="D5232" t="s">
        <v>180</v>
      </c>
      <c r="E5232" t="s">
        <v>11073</v>
      </c>
      <c r="F5232" t="str">
        <f>"00277860"</f>
        <v>00277860</v>
      </c>
      <c r="G5232" t="s">
        <v>1830</v>
      </c>
      <c r="H5232" t="s">
        <v>137</v>
      </c>
      <c r="I5232">
        <v>1609</v>
      </c>
      <c r="J5232" t="s">
        <v>21</v>
      </c>
      <c r="K5232">
        <v>0</v>
      </c>
      <c r="L5232" t="s">
        <v>35</v>
      </c>
      <c r="M5232">
        <v>1008</v>
      </c>
    </row>
    <row r="5233" spans="1:13">
      <c r="A5233">
        <v>5227</v>
      </c>
      <c r="B5233">
        <v>96261</v>
      </c>
      <c r="C5233" t="s">
        <v>11074</v>
      </c>
      <c r="D5233" t="s">
        <v>65</v>
      </c>
      <c r="E5233" t="s">
        <v>11075</v>
      </c>
      <c r="F5233" t="str">
        <f>"00379310"</f>
        <v>00379310</v>
      </c>
      <c r="G5233" t="s">
        <v>1890</v>
      </c>
      <c r="H5233" t="s">
        <v>3499</v>
      </c>
      <c r="I5233">
        <v>1672</v>
      </c>
      <c r="J5233" t="s">
        <v>21</v>
      </c>
      <c r="K5233">
        <v>0</v>
      </c>
      <c r="M5233">
        <v>1378</v>
      </c>
    </row>
    <row r="5234" spans="1:13">
      <c r="A5234">
        <v>5228</v>
      </c>
      <c r="B5234">
        <v>76731</v>
      </c>
      <c r="C5234" t="s">
        <v>11076</v>
      </c>
      <c r="D5234" t="s">
        <v>153</v>
      </c>
      <c r="E5234" t="s">
        <v>11077</v>
      </c>
      <c r="F5234" t="str">
        <f>"00380490"</f>
        <v>00380490</v>
      </c>
      <c r="G5234" t="s">
        <v>47</v>
      </c>
      <c r="H5234" t="s">
        <v>48</v>
      </c>
      <c r="I5234">
        <v>1623</v>
      </c>
      <c r="J5234" t="s">
        <v>21</v>
      </c>
      <c r="K5234">
        <v>0</v>
      </c>
      <c r="M5234">
        <v>1448</v>
      </c>
    </row>
    <row r="5235" spans="1:13">
      <c r="A5235">
        <v>5229</v>
      </c>
      <c r="B5235">
        <v>53774</v>
      </c>
      <c r="C5235" t="s">
        <v>11078</v>
      </c>
      <c r="D5235" t="s">
        <v>726</v>
      </c>
      <c r="E5235" t="s">
        <v>11079</v>
      </c>
      <c r="F5235" t="str">
        <f>"00356494"</f>
        <v>00356494</v>
      </c>
      <c r="G5235" t="s">
        <v>691</v>
      </c>
      <c r="H5235" t="s">
        <v>241</v>
      </c>
      <c r="I5235">
        <v>1360</v>
      </c>
      <c r="J5235" t="s">
        <v>21</v>
      </c>
      <c r="K5235">
        <v>0</v>
      </c>
      <c r="M5235">
        <v>1728</v>
      </c>
    </row>
    <row r="5236" spans="1:13">
      <c r="A5236">
        <v>5230</v>
      </c>
      <c r="B5236">
        <v>72070</v>
      </c>
      <c r="C5236" t="s">
        <v>11080</v>
      </c>
      <c r="D5236" t="s">
        <v>80</v>
      </c>
      <c r="E5236" t="s">
        <v>11081</v>
      </c>
      <c r="F5236" t="str">
        <f>"201511018476"</f>
        <v>201511018476</v>
      </c>
      <c r="G5236" t="s">
        <v>196</v>
      </c>
      <c r="H5236" t="s">
        <v>20</v>
      </c>
      <c r="I5236">
        <v>1512</v>
      </c>
      <c r="J5236" t="s">
        <v>21</v>
      </c>
      <c r="K5236">
        <v>6</v>
      </c>
      <c r="M5236">
        <v>1678</v>
      </c>
    </row>
    <row r="5237" spans="1:13">
      <c r="A5237">
        <v>5231</v>
      </c>
      <c r="B5237">
        <v>110346</v>
      </c>
      <c r="C5237" t="s">
        <v>11082</v>
      </c>
      <c r="D5237" t="s">
        <v>102</v>
      </c>
      <c r="E5237" t="s">
        <v>11083</v>
      </c>
      <c r="F5237" t="str">
        <f>"00266090"</f>
        <v>00266090</v>
      </c>
      <c r="G5237" t="s">
        <v>258</v>
      </c>
      <c r="H5237" t="s">
        <v>20</v>
      </c>
      <c r="I5237">
        <v>1484</v>
      </c>
      <c r="J5237" t="s">
        <v>21</v>
      </c>
      <c r="K5237">
        <v>0</v>
      </c>
      <c r="L5237" t="s">
        <v>88</v>
      </c>
      <c r="M5237">
        <v>485</v>
      </c>
    </row>
    <row r="5238" spans="1:13">
      <c r="A5238">
        <v>5232</v>
      </c>
      <c r="B5238">
        <v>82071</v>
      </c>
      <c r="C5238" t="s">
        <v>11084</v>
      </c>
      <c r="D5238" t="s">
        <v>121</v>
      </c>
      <c r="E5238" t="s">
        <v>11085</v>
      </c>
      <c r="F5238" t="str">
        <f>"00314181"</f>
        <v>00314181</v>
      </c>
      <c r="G5238" t="s">
        <v>47</v>
      </c>
      <c r="H5238" t="s">
        <v>48</v>
      </c>
      <c r="I5238">
        <v>1623</v>
      </c>
      <c r="J5238" t="s">
        <v>21</v>
      </c>
      <c r="K5238">
        <v>0</v>
      </c>
      <c r="L5238" t="s">
        <v>35</v>
      </c>
      <c r="M5238">
        <v>857</v>
      </c>
    </row>
    <row r="5239" spans="1:13">
      <c r="A5239">
        <v>5233</v>
      </c>
      <c r="B5239">
        <v>73260</v>
      </c>
      <c r="C5239" t="s">
        <v>11086</v>
      </c>
      <c r="D5239" t="s">
        <v>117</v>
      </c>
      <c r="E5239" t="s">
        <v>11087</v>
      </c>
      <c r="F5239" t="str">
        <f>"201511006388"</f>
        <v>201511006388</v>
      </c>
      <c r="G5239" t="s">
        <v>1226</v>
      </c>
      <c r="H5239" t="s">
        <v>137</v>
      </c>
      <c r="I5239">
        <v>1607</v>
      </c>
      <c r="J5239" t="s">
        <v>21</v>
      </c>
      <c r="K5239">
        <v>0</v>
      </c>
      <c r="L5239" t="s">
        <v>59</v>
      </c>
      <c r="M5239">
        <v>1088</v>
      </c>
    </row>
    <row r="5240" spans="1:13">
      <c r="A5240">
        <v>5234</v>
      </c>
      <c r="B5240">
        <v>53093</v>
      </c>
      <c r="C5240" t="s">
        <v>11088</v>
      </c>
      <c r="D5240" t="s">
        <v>76</v>
      </c>
      <c r="E5240" t="s">
        <v>11089</v>
      </c>
      <c r="F5240" t="str">
        <f>"201406017985"</f>
        <v>201406017985</v>
      </c>
      <c r="G5240" t="s">
        <v>1074</v>
      </c>
      <c r="H5240" t="s">
        <v>48</v>
      </c>
      <c r="I5240">
        <v>1627</v>
      </c>
      <c r="J5240" t="s">
        <v>21</v>
      </c>
      <c r="K5240">
        <v>6</v>
      </c>
      <c r="M5240">
        <v>1288</v>
      </c>
    </row>
    <row r="5241" spans="1:13">
      <c r="A5241">
        <v>5235</v>
      </c>
      <c r="B5241">
        <v>105888</v>
      </c>
      <c r="C5241" t="s">
        <v>11090</v>
      </c>
      <c r="D5241" t="s">
        <v>11091</v>
      </c>
      <c r="E5241" t="s">
        <v>11092</v>
      </c>
      <c r="F5241" t="str">
        <f>"00402539"</f>
        <v>00402539</v>
      </c>
      <c r="G5241" t="s">
        <v>107</v>
      </c>
      <c r="H5241" t="s">
        <v>20</v>
      </c>
      <c r="I5241">
        <v>1472</v>
      </c>
      <c r="J5241" t="s">
        <v>21</v>
      </c>
      <c r="K5241">
        <v>0</v>
      </c>
      <c r="L5241" t="s">
        <v>35</v>
      </c>
      <c r="M5241">
        <v>908</v>
      </c>
    </row>
    <row r="5242" spans="1:13">
      <c r="A5242">
        <v>5236</v>
      </c>
      <c r="B5242">
        <v>106626</v>
      </c>
      <c r="C5242" t="s">
        <v>11093</v>
      </c>
      <c r="D5242" t="s">
        <v>3178</v>
      </c>
      <c r="E5242" t="s">
        <v>11094</v>
      </c>
      <c r="F5242" t="str">
        <f>"00397261"</f>
        <v>00397261</v>
      </c>
      <c r="G5242" t="s">
        <v>107</v>
      </c>
      <c r="H5242" t="s">
        <v>20</v>
      </c>
      <c r="I5242">
        <v>1472</v>
      </c>
      <c r="J5242" t="s">
        <v>21</v>
      </c>
      <c r="K5242">
        <v>0</v>
      </c>
      <c r="M5242">
        <v>1428</v>
      </c>
    </row>
    <row r="5243" spans="1:13">
      <c r="A5243">
        <v>5237</v>
      </c>
      <c r="B5243">
        <v>47862</v>
      </c>
      <c r="C5243" t="s">
        <v>11095</v>
      </c>
      <c r="D5243" t="s">
        <v>80</v>
      </c>
      <c r="E5243" t="s">
        <v>11096</v>
      </c>
      <c r="F5243" t="str">
        <f>"00358702"</f>
        <v>00358702</v>
      </c>
      <c r="G5243" t="s">
        <v>760</v>
      </c>
      <c r="H5243" t="s">
        <v>20</v>
      </c>
      <c r="I5243">
        <v>1432</v>
      </c>
      <c r="J5243" t="s">
        <v>21</v>
      </c>
      <c r="K5243">
        <v>0</v>
      </c>
      <c r="L5243" t="s">
        <v>35</v>
      </c>
      <c r="M5243">
        <v>1100</v>
      </c>
    </row>
    <row r="5244" spans="1:13">
      <c r="A5244">
        <v>5238</v>
      </c>
      <c r="B5244">
        <v>94417</v>
      </c>
      <c r="C5244" t="s">
        <v>11097</v>
      </c>
      <c r="D5244" t="s">
        <v>180</v>
      </c>
      <c r="E5244" t="s">
        <v>11098</v>
      </c>
      <c r="F5244" t="str">
        <f>"00371776"</f>
        <v>00371776</v>
      </c>
      <c r="G5244" t="s">
        <v>1005</v>
      </c>
      <c r="H5244" t="s">
        <v>216</v>
      </c>
      <c r="I5244">
        <v>1710</v>
      </c>
      <c r="J5244" t="s">
        <v>21</v>
      </c>
      <c r="K5244">
        <v>6</v>
      </c>
      <c r="L5244" t="s">
        <v>35</v>
      </c>
      <c r="M5244">
        <v>936</v>
      </c>
    </row>
    <row r="5245" spans="1:13">
      <c r="A5245">
        <v>5239</v>
      </c>
      <c r="B5245">
        <v>114992</v>
      </c>
      <c r="C5245" t="s">
        <v>11099</v>
      </c>
      <c r="D5245" t="s">
        <v>198</v>
      </c>
      <c r="E5245" t="s">
        <v>11100</v>
      </c>
      <c r="F5245" t="str">
        <f>"00422471"</f>
        <v>00422471</v>
      </c>
      <c r="G5245" t="s">
        <v>2817</v>
      </c>
      <c r="H5245" t="s">
        <v>20</v>
      </c>
      <c r="I5245">
        <v>1493</v>
      </c>
      <c r="J5245" t="s">
        <v>21</v>
      </c>
      <c r="K5245">
        <v>0</v>
      </c>
      <c r="M5245">
        <v>1383</v>
      </c>
    </row>
    <row r="5246" spans="1:13">
      <c r="A5246">
        <v>5240</v>
      </c>
      <c r="B5246">
        <v>91319</v>
      </c>
      <c r="C5246" t="s">
        <v>11101</v>
      </c>
      <c r="D5246" t="s">
        <v>163</v>
      </c>
      <c r="E5246" t="s">
        <v>11102</v>
      </c>
      <c r="F5246" t="str">
        <f>"00410490"</f>
        <v>00410490</v>
      </c>
      <c r="G5246" t="s">
        <v>527</v>
      </c>
      <c r="H5246" t="s">
        <v>20</v>
      </c>
      <c r="I5246">
        <v>1568</v>
      </c>
      <c r="J5246" t="s">
        <v>21</v>
      </c>
      <c r="K5246">
        <v>0</v>
      </c>
      <c r="M5246">
        <v>1388</v>
      </c>
    </row>
    <row r="5247" spans="1:13">
      <c r="A5247">
        <v>5241</v>
      </c>
      <c r="B5247">
        <v>86814</v>
      </c>
      <c r="C5247" t="s">
        <v>11103</v>
      </c>
      <c r="D5247" t="s">
        <v>145</v>
      </c>
      <c r="E5247" t="s">
        <v>11104</v>
      </c>
      <c r="F5247" t="str">
        <f>"00388289"</f>
        <v>00388289</v>
      </c>
      <c r="G5247" t="s">
        <v>47</v>
      </c>
      <c r="H5247" t="s">
        <v>48</v>
      </c>
      <c r="I5247">
        <v>1623</v>
      </c>
      <c r="J5247" t="s">
        <v>21</v>
      </c>
      <c r="K5247">
        <v>0</v>
      </c>
      <c r="L5247" t="s">
        <v>35</v>
      </c>
      <c r="M5247">
        <v>1100</v>
      </c>
    </row>
    <row r="5248" spans="1:13">
      <c r="A5248">
        <v>5242</v>
      </c>
      <c r="B5248">
        <v>79010</v>
      </c>
      <c r="C5248" t="s">
        <v>11105</v>
      </c>
      <c r="D5248" t="s">
        <v>243</v>
      </c>
      <c r="E5248" t="s">
        <v>11106</v>
      </c>
      <c r="F5248" t="str">
        <f>"00249172"</f>
        <v>00249172</v>
      </c>
      <c r="G5248" t="s">
        <v>170</v>
      </c>
      <c r="H5248" t="s">
        <v>423</v>
      </c>
      <c r="I5248">
        <v>1636</v>
      </c>
      <c r="J5248" t="s">
        <v>21</v>
      </c>
      <c r="K5248">
        <v>0</v>
      </c>
      <c r="L5248" t="s">
        <v>35</v>
      </c>
      <c r="M5248">
        <v>955</v>
      </c>
    </row>
    <row r="5249" spans="1:13">
      <c r="A5249">
        <v>5243</v>
      </c>
      <c r="B5249">
        <v>105112</v>
      </c>
      <c r="C5249" t="s">
        <v>11107</v>
      </c>
      <c r="D5249" t="s">
        <v>80</v>
      </c>
      <c r="E5249" t="s">
        <v>11108</v>
      </c>
      <c r="F5249" t="str">
        <f>"00291038"</f>
        <v>00291038</v>
      </c>
      <c r="G5249" t="s">
        <v>1753</v>
      </c>
      <c r="H5249" t="s">
        <v>20</v>
      </c>
      <c r="I5249">
        <v>1544</v>
      </c>
      <c r="J5249" t="s">
        <v>21</v>
      </c>
      <c r="K5249">
        <v>0</v>
      </c>
      <c r="L5249" t="s">
        <v>35</v>
      </c>
      <c r="M5249">
        <v>1265</v>
      </c>
    </row>
    <row r="5250" spans="1:13">
      <c r="A5250">
        <v>5244</v>
      </c>
      <c r="B5250">
        <v>70668</v>
      </c>
      <c r="C5250" t="s">
        <v>11109</v>
      </c>
      <c r="D5250" t="s">
        <v>145</v>
      </c>
      <c r="E5250" t="s">
        <v>11110</v>
      </c>
      <c r="F5250" t="str">
        <f>"00407531"</f>
        <v>00407531</v>
      </c>
      <c r="G5250" t="s">
        <v>380</v>
      </c>
      <c r="H5250" t="s">
        <v>137</v>
      </c>
      <c r="I5250">
        <v>1615</v>
      </c>
      <c r="J5250" t="s">
        <v>21</v>
      </c>
      <c r="K5250">
        <v>0</v>
      </c>
      <c r="L5250" t="s">
        <v>83</v>
      </c>
      <c r="M5250">
        <v>1388</v>
      </c>
    </row>
    <row r="5251" spans="1:13">
      <c r="A5251">
        <v>5245</v>
      </c>
      <c r="B5251">
        <v>80444</v>
      </c>
      <c r="C5251" t="s">
        <v>11111</v>
      </c>
      <c r="D5251" t="s">
        <v>80</v>
      </c>
      <c r="E5251" t="s">
        <v>11112</v>
      </c>
      <c r="F5251" t="str">
        <f>"00085323"</f>
        <v>00085323</v>
      </c>
      <c r="G5251" t="s">
        <v>380</v>
      </c>
      <c r="H5251" t="s">
        <v>20</v>
      </c>
      <c r="I5251">
        <v>1496</v>
      </c>
      <c r="J5251" t="s">
        <v>21</v>
      </c>
      <c r="K5251">
        <v>0</v>
      </c>
      <c r="L5251" t="s">
        <v>35</v>
      </c>
      <c r="M5251">
        <v>1170</v>
      </c>
    </row>
    <row r="5252" spans="1:13">
      <c r="A5252">
        <v>5246</v>
      </c>
      <c r="B5252">
        <v>56259</v>
      </c>
      <c r="C5252" t="s">
        <v>11113</v>
      </c>
      <c r="D5252" t="s">
        <v>180</v>
      </c>
      <c r="E5252" t="s">
        <v>11114</v>
      </c>
      <c r="F5252" t="str">
        <f>"00367519"</f>
        <v>00367519</v>
      </c>
      <c r="G5252" t="s">
        <v>1695</v>
      </c>
      <c r="H5252" t="s">
        <v>20</v>
      </c>
      <c r="I5252">
        <v>1533</v>
      </c>
      <c r="J5252" t="s">
        <v>21</v>
      </c>
      <c r="K5252">
        <v>0</v>
      </c>
      <c r="M5252">
        <v>1637</v>
      </c>
    </row>
    <row r="5253" spans="1:13">
      <c r="A5253">
        <v>5247</v>
      </c>
      <c r="B5253">
        <v>57112</v>
      </c>
      <c r="C5253" t="s">
        <v>11115</v>
      </c>
      <c r="D5253" t="s">
        <v>105</v>
      </c>
      <c r="E5253" t="s">
        <v>11116</v>
      </c>
      <c r="F5253" t="str">
        <f>"201511017370"</f>
        <v>201511017370</v>
      </c>
      <c r="G5253" t="s">
        <v>211</v>
      </c>
      <c r="H5253" t="s">
        <v>48</v>
      </c>
      <c r="I5253">
        <v>1628</v>
      </c>
      <c r="J5253" t="s">
        <v>21</v>
      </c>
      <c r="K5253">
        <v>0</v>
      </c>
      <c r="M5253">
        <v>1311</v>
      </c>
    </row>
    <row r="5254" spans="1:13">
      <c r="A5254">
        <v>5248</v>
      </c>
      <c r="B5254">
        <v>84973</v>
      </c>
      <c r="C5254" t="s">
        <v>11117</v>
      </c>
      <c r="D5254" t="s">
        <v>566</v>
      </c>
      <c r="E5254" t="s">
        <v>11118</v>
      </c>
      <c r="F5254" t="str">
        <f>"201511018029"</f>
        <v>201511018029</v>
      </c>
      <c r="G5254" t="s">
        <v>107</v>
      </c>
      <c r="H5254" t="s">
        <v>20</v>
      </c>
      <c r="I5254">
        <v>1472</v>
      </c>
      <c r="J5254" t="s">
        <v>21</v>
      </c>
      <c r="K5254">
        <v>0</v>
      </c>
      <c r="L5254" t="s">
        <v>112</v>
      </c>
      <c r="M5254">
        <v>808</v>
      </c>
    </row>
    <row r="5255" spans="1:13">
      <c r="A5255">
        <v>5249</v>
      </c>
      <c r="B5255">
        <v>104220</v>
      </c>
      <c r="C5255" t="s">
        <v>11119</v>
      </c>
      <c r="D5255" t="s">
        <v>105</v>
      </c>
      <c r="E5255" t="s">
        <v>11120</v>
      </c>
      <c r="F5255" t="str">
        <f>"00405738"</f>
        <v>00405738</v>
      </c>
      <c r="G5255" t="s">
        <v>278</v>
      </c>
      <c r="H5255" t="s">
        <v>137</v>
      </c>
      <c r="I5255">
        <v>1605</v>
      </c>
      <c r="J5255" t="s">
        <v>21</v>
      </c>
      <c r="K5255">
        <v>0</v>
      </c>
      <c r="L5255" t="s">
        <v>35</v>
      </c>
      <c r="M5255">
        <v>1000</v>
      </c>
    </row>
    <row r="5256" spans="1:13">
      <c r="A5256">
        <v>5250</v>
      </c>
      <c r="B5256">
        <v>60098</v>
      </c>
      <c r="C5256" t="s">
        <v>11121</v>
      </c>
      <c r="D5256" t="s">
        <v>213</v>
      </c>
      <c r="E5256" t="s">
        <v>11122</v>
      </c>
      <c r="F5256" t="str">
        <f>"00314251"</f>
        <v>00314251</v>
      </c>
      <c r="G5256" t="s">
        <v>29</v>
      </c>
      <c r="H5256" t="s">
        <v>20</v>
      </c>
      <c r="I5256">
        <v>1446</v>
      </c>
      <c r="J5256" t="s">
        <v>21</v>
      </c>
      <c r="K5256">
        <v>0</v>
      </c>
      <c r="L5256" t="s">
        <v>35</v>
      </c>
      <c r="M5256">
        <v>1050</v>
      </c>
    </row>
    <row r="5257" spans="1:13">
      <c r="A5257">
        <v>5251</v>
      </c>
      <c r="B5257">
        <v>91640</v>
      </c>
      <c r="C5257" t="s">
        <v>11123</v>
      </c>
      <c r="D5257" t="s">
        <v>209</v>
      </c>
      <c r="E5257" t="s">
        <v>11124</v>
      </c>
      <c r="F5257" t="str">
        <f>"00381092"</f>
        <v>00381092</v>
      </c>
      <c r="G5257" t="s">
        <v>371</v>
      </c>
      <c r="H5257" t="s">
        <v>20</v>
      </c>
      <c r="I5257">
        <v>1526</v>
      </c>
      <c r="J5257" t="s">
        <v>21</v>
      </c>
      <c r="K5257">
        <v>6</v>
      </c>
      <c r="L5257" t="s">
        <v>35</v>
      </c>
      <c r="M5257">
        <v>408</v>
      </c>
    </row>
    <row r="5258" spans="1:13">
      <c r="A5258">
        <v>5252</v>
      </c>
      <c r="B5258">
        <v>56662</v>
      </c>
      <c r="C5258" t="s">
        <v>11125</v>
      </c>
      <c r="D5258" t="s">
        <v>76</v>
      </c>
      <c r="E5258" t="s">
        <v>11126</v>
      </c>
      <c r="F5258" t="str">
        <f>"00005177"</f>
        <v>00005177</v>
      </c>
      <c r="G5258" t="s">
        <v>82</v>
      </c>
      <c r="H5258" t="s">
        <v>20</v>
      </c>
      <c r="I5258">
        <v>1475</v>
      </c>
      <c r="J5258" t="s">
        <v>21</v>
      </c>
      <c r="K5258">
        <v>0</v>
      </c>
      <c r="M5258">
        <v>1678</v>
      </c>
    </row>
    <row r="5259" spans="1:13">
      <c r="A5259">
        <v>5253</v>
      </c>
      <c r="B5259">
        <v>78825</v>
      </c>
      <c r="C5259" t="s">
        <v>11127</v>
      </c>
      <c r="D5259" t="s">
        <v>334</v>
      </c>
      <c r="E5259" t="s">
        <v>11128</v>
      </c>
      <c r="F5259" t="str">
        <f>"00404747"</f>
        <v>00404747</v>
      </c>
      <c r="G5259" t="s">
        <v>107</v>
      </c>
      <c r="H5259" t="s">
        <v>20</v>
      </c>
      <c r="I5259">
        <v>1472</v>
      </c>
      <c r="J5259" t="s">
        <v>21</v>
      </c>
      <c r="K5259">
        <v>0</v>
      </c>
      <c r="M5259">
        <v>1428</v>
      </c>
    </row>
    <row r="5260" spans="1:13">
      <c r="A5260">
        <v>5254</v>
      </c>
      <c r="B5260">
        <v>91628</v>
      </c>
      <c r="C5260" t="s">
        <v>11129</v>
      </c>
      <c r="D5260" t="s">
        <v>105</v>
      </c>
      <c r="E5260" t="s">
        <v>11130</v>
      </c>
      <c r="F5260" t="str">
        <f>"201604006114"</f>
        <v>201604006114</v>
      </c>
      <c r="G5260" t="s">
        <v>955</v>
      </c>
      <c r="H5260" t="s">
        <v>48</v>
      </c>
      <c r="I5260">
        <v>1630</v>
      </c>
      <c r="J5260" t="s">
        <v>21</v>
      </c>
      <c r="K5260">
        <v>0</v>
      </c>
      <c r="M5260">
        <v>1288</v>
      </c>
    </row>
    <row r="5261" spans="1:13">
      <c r="A5261">
        <v>5255</v>
      </c>
      <c r="B5261">
        <v>81467</v>
      </c>
      <c r="C5261" t="s">
        <v>11131</v>
      </c>
      <c r="D5261" t="s">
        <v>76</v>
      </c>
      <c r="E5261" t="s">
        <v>11132</v>
      </c>
      <c r="F5261" t="str">
        <f>"201409000304"</f>
        <v>201409000304</v>
      </c>
      <c r="G5261" t="s">
        <v>892</v>
      </c>
      <c r="H5261" t="s">
        <v>20</v>
      </c>
      <c r="I5261">
        <v>1410</v>
      </c>
      <c r="J5261" t="s">
        <v>21</v>
      </c>
      <c r="K5261">
        <v>0</v>
      </c>
      <c r="L5261" t="s">
        <v>35</v>
      </c>
      <c r="M5261">
        <v>1050</v>
      </c>
    </row>
    <row r="5262" spans="1:13">
      <c r="A5262">
        <v>5256</v>
      </c>
      <c r="B5262">
        <v>67774</v>
      </c>
      <c r="C5262" t="s">
        <v>11133</v>
      </c>
      <c r="D5262" t="s">
        <v>145</v>
      </c>
      <c r="E5262" t="s">
        <v>11134</v>
      </c>
      <c r="F5262" t="str">
        <f>"00282043"</f>
        <v>00282043</v>
      </c>
      <c r="G5262" t="s">
        <v>583</v>
      </c>
      <c r="H5262" t="s">
        <v>738</v>
      </c>
      <c r="I5262">
        <v>1642</v>
      </c>
      <c r="J5262" t="s">
        <v>21</v>
      </c>
      <c r="K5262">
        <v>0</v>
      </c>
      <c r="M5262">
        <v>1328</v>
      </c>
    </row>
    <row r="5263" spans="1:13">
      <c r="A5263">
        <v>5257</v>
      </c>
      <c r="B5263">
        <v>73983</v>
      </c>
      <c r="C5263" t="s">
        <v>11135</v>
      </c>
      <c r="D5263" t="s">
        <v>145</v>
      </c>
      <c r="E5263" t="s">
        <v>11136</v>
      </c>
      <c r="F5263" t="str">
        <f>"00350374"</f>
        <v>00350374</v>
      </c>
      <c r="G5263" t="s">
        <v>38</v>
      </c>
      <c r="H5263" t="s">
        <v>39</v>
      </c>
      <c r="I5263">
        <v>1634</v>
      </c>
      <c r="J5263" t="s">
        <v>21</v>
      </c>
      <c r="K5263">
        <v>6</v>
      </c>
      <c r="L5263" t="s">
        <v>35</v>
      </c>
      <c r="M5263">
        <v>700</v>
      </c>
    </row>
    <row r="5264" spans="1:13">
      <c r="A5264">
        <v>5258</v>
      </c>
      <c r="B5264">
        <v>92099</v>
      </c>
      <c r="C5264" t="s">
        <v>11137</v>
      </c>
      <c r="D5264" t="s">
        <v>76</v>
      </c>
      <c r="E5264" t="s">
        <v>11138</v>
      </c>
      <c r="F5264" t="str">
        <f>"00053039"</f>
        <v>00053039</v>
      </c>
      <c r="G5264" t="s">
        <v>78</v>
      </c>
      <c r="H5264" t="s">
        <v>20</v>
      </c>
      <c r="I5264">
        <v>1460</v>
      </c>
      <c r="J5264" t="s">
        <v>21</v>
      </c>
      <c r="K5264">
        <v>0</v>
      </c>
      <c r="L5264" t="s">
        <v>83</v>
      </c>
      <c r="M5264">
        <v>1388</v>
      </c>
    </row>
    <row r="5265" spans="1:13">
      <c r="A5265">
        <v>5259</v>
      </c>
      <c r="B5265">
        <v>98321</v>
      </c>
      <c r="C5265" t="s">
        <v>11139</v>
      </c>
      <c r="D5265" t="s">
        <v>700</v>
      </c>
      <c r="E5265" t="s">
        <v>11140</v>
      </c>
      <c r="F5265" t="str">
        <f>"201511019661"</f>
        <v>201511019661</v>
      </c>
      <c r="G5265" t="s">
        <v>47</v>
      </c>
      <c r="H5265" t="s">
        <v>48</v>
      </c>
      <c r="I5265">
        <v>1623</v>
      </c>
      <c r="J5265" t="s">
        <v>21</v>
      </c>
      <c r="K5265">
        <v>0</v>
      </c>
      <c r="L5265" t="s">
        <v>83</v>
      </c>
      <c r="M5265">
        <v>1238</v>
      </c>
    </row>
    <row r="5266" spans="1:13">
      <c r="A5266">
        <v>5260</v>
      </c>
      <c r="B5266">
        <v>71421</v>
      </c>
      <c r="C5266" t="s">
        <v>11139</v>
      </c>
      <c r="D5266" t="s">
        <v>180</v>
      </c>
      <c r="E5266" t="s">
        <v>11141</v>
      </c>
      <c r="F5266" t="str">
        <f>"00415226"</f>
        <v>00415226</v>
      </c>
      <c r="G5266" t="s">
        <v>24</v>
      </c>
      <c r="H5266" t="s">
        <v>20</v>
      </c>
      <c r="I5266">
        <v>1577</v>
      </c>
      <c r="J5266" t="s">
        <v>21</v>
      </c>
      <c r="K5266">
        <v>0</v>
      </c>
      <c r="M5266">
        <v>1338</v>
      </c>
    </row>
    <row r="5267" spans="1:13">
      <c r="A5267">
        <v>5261</v>
      </c>
      <c r="B5267">
        <v>86748</v>
      </c>
      <c r="C5267" t="s">
        <v>11142</v>
      </c>
      <c r="D5267" t="s">
        <v>80</v>
      </c>
      <c r="E5267" t="s">
        <v>11143</v>
      </c>
      <c r="F5267" t="str">
        <f>"00402713"</f>
        <v>00402713</v>
      </c>
      <c r="G5267" t="s">
        <v>1509</v>
      </c>
      <c r="H5267" t="s">
        <v>20</v>
      </c>
      <c r="I5267">
        <v>1563</v>
      </c>
      <c r="J5267" t="s">
        <v>21</v>
      </c>
      <c r="K5267">
        <v>6</v>
      </c>
      <c r="L5267" t="s">
        <v>35</v>
      </c>
      <c r="M5267">
        <v>908</v>
      </c>
    </row>
    <row r="5268" spans="1:13">
      <c r="A5268">
        <v>5262</v>
      </c>
      <c r="B5268">
        <v>101054</v>
      </c>
      <c r="C5268" t="s">
        <v>11144</v>
      </c>
      <c r="D5268" t="s">
        <v>288</v>
      </c>
      <c r="E5268" t="s">
        <v>11145</v>
      </c>
      <c r="F5268" t="str">
        <f>"00228953"</f>
        <v>00228953</v>
      </c>
      <c r="G5268" t="s">
        <v>1764</v>
      </c>
      <c r="H5268" t="s">
        <v>20</v>
      </c>
      <c r="I5268">
        <v>1532</v>
      </c>
      <c r="J5268" t="s">
        <v>21</v>
      </c>
      <c r="K5268">
        <v>0</v>
      </c>
      <c r="M5268">
        <v>1428</v>
      </c>
    </row>
    <row r="5269" spans="1:13">
      <c r="A5269">
        <v>5263</v>
      </c>
      <c r="B5269">
        <v>116884</v>
      </c>
      <c r="C5269" t="s">
        <v>11146</v>
      </c>
      <c r="D5269" t="s">
        <v>700</v>
      </c>
      <c r="E5269" t="s">
        <v>11147</v>
      </c>
      <c r="F5269" t="str">
        <f>"00312207"</f>
        <v>00312207</v>
      </c>
      <c r="G5269" t="s">
        <v>754</v>
      </c>
      <c r="H5269" t="s">
        <v>20</v>
      </c>
      <c r="I5269">
        <v>1525</v>
      </c>
      <c r="J5269" t="s">
        <v>21</v>
      </c>
      <c r="K5269">
        <v>6</v>
      </c>
      <c r="M5269">
        <v>1028</v>
      </c>
    </row>
    <row r="5270" spans="1:13">
      <c r="A5270">
        <v>5264</v>
      </c>
      <c r="B5270">
        <v>100744</v>
      </c>
      <c r="C5270" t="s">
        <v>11148</v>
      </c>
      <c r="D5270" t="s">
        <v>145</v>
      </c>
      <c r="E5270" t="s">
        <v>11149</v>
      </c>
      <c r="F5270" t="str">
        <f>"00384208"</f>
        <v>00384208</v>
      </c>
      <c r="G5270" t="s">
        <v>1682</v>
      </c>
      <c r="H5270" t="s">
        <v>241</v>
      </c>
      <c r="I5270">
        <v>1363</v>
      </c>
      <c r="J5270" t="s">
        <v>21</v>
      </c>
      <c r="K5270">
        <v>0</v>
      </c>
      <c r="M5270">
        <v>1528</v>
      </c>
    </row>
    <row r="5271" spans="1:13">
      <c r="A5271">
        <v>5265</v>
      </c>
      <c r="B5271">
        <v>86819</v>
      </c>
      <c r="C5271" t="s">
        <v>11150</v>
      </c>
      <c r="D5271" t="s">
        <v>76</v>
      </c>
      <c r="E5271" t="s">
        <v>11151</v>
      </c>
      <c r="F5271" t="str">
        <f>"00283566"</f>
        <v>00283566</v>
      </c>
      <c r="G5271" t="s">
        <v>107</v>
      </c>
      <c r="H5271" t="s">
        <v>20</v>
      </c>
      <c r="I5271">
        <v>1472</v>
      </c>
      <c r="J5271" t="s">
        <v>21</v>
      </c>
      <c r="K5271">
        <v>0</v>
      </c>
      <c r="L5271" t="s">
        <v>59</v>
      </c>
      <c r="M5271">
        <v>938</v>
      </c>
    </row>
    <row r="5272" spans="1:13">
      <c r="A5272">
        <v>5266</v>
      </c>
      <c r="B5272">
        <v>56332</v>
      </c>
      <c r="C5272" t="s">
        <v>11152</v>
      </c>
      <c r="D5272" t="s">
        <v>6353</v>
      </c>
      <c r="E5272" t="s">
        <v>11153</v>
      </c>
      <c r="F5272" t="str">
        <f>"00360109"</f>
        <v>00360109</v>
      </c>
      <c r="G5272" t="s">
        <v>4788</v>
      </c>
      <c r="H5272" t="s">
        <v>1610</v>
      </c>
      <c r="I5272">
        <v>1309</v>
      </c>
      <c r="J5272" t="s">
        <v>21</v>
      </c>
      <c r="K5272">
        <v>6</v>
      </c>
      <c r="M5272">
        <v>1593</v>
      </c>
    </row>
    <row r="5273" spans="1:13">
      <c r="A5273">
        <v>5267</v>
      </c>
      <c r="B5273">
        <v>48341</v>
      </c>
      <c r="C5273" t="s">
        <v>11154</v>
      </c>
      <c r="D5273" t="s">
        <v>288</v>
      </c>
      <c r="E5273" t="s">
        <v>11155</v>
      </c>
      <c r="F5273" t="str">
        <f>"00264009"</f>
        <v>00264009</v>
      </c>
      <c r="G5273" t="s">
        <v>9620</v>
      </c>
      <c r="H5273" t="s">
        <v>535</v>
      </c>
      <c r="I5273">
        <v>1668</v>
      </c>
      <c r="J5273" t="s">
        <v>21</v>
      </c>
      <c r="K5273">
        <v>0</v>
      </c>
      <c r="L5273" t="s">
        <v>35</v>
      </c>
      <c r="M5273">
        <v>1297</v>
      </c>
    </row>
    <row r="5274" spans="1:13">
      <c r="A5274">
        <v>5268</v>
      </c>
      <c r="B5274">
        <v>85136</v>
      </c>
      <c r="C5274" t="s">
        <v>11156</v>
      </c>
      <c r="D5274" t="s">
        <v>11157</v>
      </c>
      <c r="E5274" t="s">
        <v>11158</v>
      </c>
      <c r="F5274" t="str">
        <f>"00387538"</f>
        <v>00387538</v>
      </c>
      <c r="G5274" t="s">
        <v>170</v>
      </c>
      <c r="H5274" t="s">
        <v>423</v>
      </c>
      <c r="I5274">
        <v>1636</v>
      </c>
      <c r="J5274" t="s">
        <v>21</v>
      </c>
      <c r="K5274">
        <v>0</v>
      </c>
      <c r="M5274">
        <v>1388</v>
      </c>
    </row>
    <row r="5275" spans="1:13">
      <c r="A5275">
        <v>5269</v>
      </c>
      <c r="B5275">
        <v>60168</v>
      </c>
      <c r="C5275" t="s">
        <v>11159</v>
      </c>
      <c r="D5275" t="s">
        <v>180</v>
      </c>
      <c r="E5275" t="s">
        <v>11160</v>
      </c>
      <c r="F5275" t="str">
        <f>"00278598"</f>
        <v>00278598</v>
      </c>
      <c r="G5275" t="s">
        <v>255</v>
      </c>
      <c r="H5275" t="s">
        <v>20</v>
      </c>
      <c r="I5275">
        <v>1513</v>
      </c>
      <c r="J5275" t="s">
        <v>21</v>
      </c>
      <c r="K5275">
        <v>6</v>
      </c>
      <c r="L5275" t="s">
        <v>35</v>
      </c>
      <c r="M5275">
        <v>1008</v>
      </c>
    </row>
    <row r="5276" spans="1:13">
      <c r="A5276">
        <v>5270</v>
      </c>
      <c r="B5276">
        <v>89612</v>
      </c>
      <c r="C5276" t="s">
        <v>11161</v>
      </c>
      <c r="D5276" t="s">
        <v>94</v>
      </c>
      <c r="E5276" t="s">
        <v>11162</v>
      </c>
      <c r="F5276" t="str">
        <f>"00260627"</f>
        <v>00260627</v>
      </c>
      <c r="G5276" t="s">
        <v>47</v>
      </c>
      <c r="H5276" t="s">
        <v>48</v>
      </c>
      <c r="I5276">
        <v>1623</v>
      </c>
      <c r="J5276" t="s">
        <v>21</v>
      </c>
      <c r="K5276">
        <v>0</v>
      </c>
      <c r="M5276">
        <v>1358</v>
      </c>
    </row>
    <row r="5277" spans="1:13">
      <c r="A5277">
        <v>5271</v>
      </c>
      <c r="B5277">
        <v>66647</v>
      </c>
      <c r="C5277" t="s">
        <v>11163</v>
      </c>
      <c r="D5277" t="s">
        <v>145</v>
      </c>
      <c r="E5277" t="s">
        <v>11164</v>
      </c>
      <c r="F5277" t="str">
        <f>"00403412"</f>
        <v>00403412</v>
      </c>
      <c r="G5277" t="s">
        <v>3888</v>
      </c>
      <c r="H5277" t="s">
        <v>1610</v>
      </c>
      <c r="I5277">
        <v>1306</v>
      </c>
      <c r="J5277" t="s">
        <v>21</v>
      </c>
      <c r="K5277">
        <v>0</v>
      </c>
      <c r="L5277" t="s">
        <v>35</v>
      </c>
      <c r="M5277">
        <v>1100</v>
      </c>
    </row>
    <row r="5278" spans="1:13">
      <c r="A5278">
        <v>5272</v>
      </c>
      <c r="B5278">
        <v>79673</v>
      </c>
      <c r="C5278" t="s">
        <v>11165</v>
      </c>
      <c r="D5278" t="s">
        <v>288</v>
      </c>
      <c r="E5278" t="s">
        <v>11166</v>
      </c>
      <c r="F5278" t="str">
        <f>"00403212"</f>
        <v>00403212</v>
      </c>
      <c r="G5278" t="s">
        <v>196</v>
      </c>
      <c r="H5278" t="s">
        <v>20</v>
      </c>
      <c r="I5278">
        <v>1512</v>
      </c>
      <c r="J5278" t="s">
        <v>21</v>
      </c>
      <c r="K5278">
        <v>6</v>
      </c>
      <c r="L5278" t="s">
        <v>35</v>
      </c>
      <c r="M5278">
        <v>920</v>
      </c>
    </row>
    <row r="5279" spans="1:13">
      <c r="A5279">
        <v>5273</v>
      </c>
      <c r="B5279">
        <v>94412</v>
      </c>
      <c r="C5279" t="s">
        <v>11167</v>
      </c>
      <c r="D5279" t="s">
        <v>905</v>
      </c>
      <c r="E5279" t="s">
        <v>11168</v>
      </c>
      <c r="F5279" t="str">
        <f>"00023376"</f>
        <v>00023376</v>
      </c>
      <c r="G5279" t="s">
        <v>211</v>
      </c>
      <c r="H5279" t="s">
        <v>857</v>
      </c>
      <c r="I5279">
        <v>1659</v>
      </c>
      <c r="J5279" t="s">
        <v>21</v>
      </c>
      <c r="K5279">
        <v>0</v>
      </c>
      <c r="M5279">
        <v>1438</v>
      </c>
    </row>
    <row r="5280" spans="1:13">
      <c r="A5280">
        <v>5274</v>
      </c>
      <c r="B5280">
        <v>94965</v>
      </c>
      <c r="C5280" t="s">
        <v>11169</v>
      </c>
      <c r="D5280" t="s">
        <v>249</v>
      </c>
      <c r="E5280" t="s">
        <v>11170</v>
      </c>
      <c r="F5280" t="str">
        <f>"00386651"</f>
        <v>00386651</v>
      </c>
      <c r="G5280" t="s">
        <v>307</v>
      </c>
      <c r="H5280" t="s">
        <v>326</v>
      </c>
      <c r="I5280">
        <v>1594</v>
      </c>
      <c r="J5280" t="s">
        <v>21</v>
      </c>
      <c r="K5280">
        <v>0</v>
      </c>
      <c r="L5280" t="s">
        <v>35</v>
      </c>
      <c r="M5280">
        <v>908</v>
      </c>
    </row>
    <row r="5281" spans="1:13">
      <c r="A5281">
        <v>5275</v>
      </c>
      <c r="B5281">
        <v>81857</v>
      </c>
      <c r="C5281" t="s">
        <v>11171</v>
      </c>
      <c r="D5281" t="s">
        <v>557</v>
      </c>
      <c r="E5281" t="s">
        <v>11172</v>
      </c>
      <c r="F5281" t="str">
        <f>"00384953"</f>
        <v>00384953</v>
      </c>
      <c r="G5281" t="s">
        <v>240</v>
      </c>
      <c r="H5281" t="s">
        <v>20</v>
      </c>
      <c r="I5281">
        <v>1535</v>
      </c>
      <c r="J5281" t="s">
        <v>21</v>
      </c>
      <c r="K5281">
        <v>6</v>
      </c>
      <c r="L5281" t="s">
        <v>59</v>
      </c>
      <c r="M5281">
        <v>958</v>
      </c>
    </row>
    <row r="5282" spans="1:13">
      <c r="A5282">
        <v>5276</v>
      </c>
      <c r="B5282">
        <v>66823</v>
      </c>
      <c r="C5282" t="s">
        <v>11173</v>
      </c>
      <c r="D5282" t="s">
        <v>76</v>
      </c>
      <c r="E5282" t="s">
        <v>11174</v>
      </c>
      <c r="F5282" t="str">
        <f>"00370363"</f>
        <v>00370363</v>
      </c>
      <c r="G5282" t="s">
        <v>96</v>
      </c>
      <c r="H5282" t="s">
        <v>20</v>
      </c>
      <c r="I5282">
        <v>1474</v>
      </c>
      <c r="J5282" t="s">
        <v>21</v>
      </c>
      <c r="K5282">
        <v>0</v>
      </c>
      <c r="L5282" t="s">
        <v>112</v>
      </c>
      <c r="M5282">
        <v>908</v>
      </c>
    </row>
    <row r="5283" spans="1:13">
      <c r="A5283">
        <v>5277</v>
      </c>
      <c r="B5283">
        <v>71748</v>
      </c>
      <c r="C5283" t="s">
        <v>11175</v>
      </c>
      <c r="D5283" t="s">
        <v>1232</v>
      </c>
      <c r="E5283" t="s">
        <v>11176</v>
      </c>
      <c r="F5283" t="str">
        <f>"00399047"</f>
        <v>00399047</v>
      </c>
      <c r="G5283" t="s">
        <v>107</v>
      </c>
      <c r="H5283" t="s">
        <v>20</v>
      </c>
      <c r="I5283">
        <v>1472</v>
      </c>
      <c r="J5283" t="s">
        <v>21</v>
      </c>
      <c r="K5283">
        <v>0</v>
      </c>
      <c r="L5283" t="s">
        <v>35</v>
      </c>
      <c r="M5283">
        <v>908</v>
      </c>
    </row>
    <row r="5284" spans="1:13">
      <c r="A5284">
        <v>5278</v>
      </c>
      <c r="B5284">
        <v>89076</v>
      </c>
      <c r="C5284" t="s">
        <v>11177</v>
      </c>
      <c r="D5284" t="s">
        <v>198</v>
      </c>
      <c r="E5284" t="s">
        <v>11178</v>
      </c>
      <c r="F5284" t="str">
        <f>"201511024620"</f>
        <v>201511024620</v>
      </c>
      <c r="G5284" t="s">
        <v>1125</v>
      </c>
      <c r="H5284" t="s">
        <v>20</v>
      </c>
      <c r="I5284">
        <v>1431</v>
      </c>
      <c r="J5284" t="s">
        <v>21</v>
      </c>
      <c r="K5284">
        <v>0</v>
      </c>
      <c r="L5284" t="s">
        <v>83</v>
      </c>
      <c r="M5284">
        <v>1368</v>
      </c>
    </row>
    <row r="5285" spans="1:13">
      <c r="A5285">
        <v>5279</v>
      </c>
      <c r="B5285">
        <v>60343</v>
      </c>
      <c r="C5285" t="s">
        <v>11179</v>
      </c>
      <c r="D5285" t="s">
        <v>243</v>
      </c>
      <c r="E5285" t="s">
        <v>11180</v>
      </c>
      <c r="F5285" t="str">
        <f>"00040425"</f>
        <v>00040425</v>
      </c>
      <c r="G5285" t="s">
        <v>96</v>
      </c>
      <c r="H5285" t="s">
        <v>20</v>
      </c>
      <c r="I5285">
        <v>1474</v>
      </c>
      <c r="J5285" t="s">
        <v>21</v>
      </c>
      <c r="K5285">
        <v>0</v>
      </c>
      <c r="L5285" t="s">
        <v>88</v>
      </c>
      <c r="M5285">
        <v>675</v>
      </c>
    </row>
    <row r="5286" spans="1:13">
      <c r="A5286">
        <v>5280</v>
      </c>
      <c r="B5286">
        <v>64036</v>
      </c>
      <c r="C5286" t="s">
        <v>11181</v>
      </c>
      <c r="D5286" t="s">
        <v>121</v>
      </c>
      <c r="E5286" t="s">
        <v>11182</v>
      </c>
      <c r="F5286" t="str">
        <f>"00285717"</f>
        <v>00285717</v>
      </c>
      <c r="G5286" t="s">
        <v>626</v>
      </c>
      <c r="H5286" t="s">
        <v>234</v>
      </c>
      <c r="I5286">
        <v>1327</v>
      </c>
      <c r="J5286" t="s">
        <v>21</v>
      </c>
      <c r="K5286">
        <v>0</v>
      </c>
      <c r="L5286" t="s">
        <v>35</v>
      </c>
      <c r="M5286">
        <v>1231</v>
      </c>
    </row>
    <row r="5287" spans="1:13">
      <c r="A5287">
        <v>5281</v>
      </c>
      <c r="B5287">
        <v>113583</v>
      </c>
      <c r="C5287" t="s">
        <v>11183</v>
      </c>
      <c r="D5287" t="s">
        <v>180</v>
      </c>
      <c r="E5287" t="s">
        <v>11184</v>
      </c>
      <c r="F5287" t="str">
        <f>"00408472"</f>
        <v>00408472</v>
      </c>
      <c r="G5287" t="s">
        <v>380</v>
      </c>
      <c r="H5287" t="s">
        <v>20</v>
      </c>
      <c r="I5287">
        <v>1496</v>
      </c>
      <c r="J5287" t="s">
        <v>21</v>
      </c>
      <c r="K5287">
        <v>0</v>
      </c>
      <c r="L5287" t="s">
        <v>35</v>
      </c>
      <c r="M5287">
        <v>1158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3Κ_2018_ΥΕ_ΔΙΟΡΙΣΤΕΟΙ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kostas karras</cp:lastModifiedBy>
  <dcterms:created xsi:type="dcterms:W3CDTF">2018-03-31T15:23:50Z</dcterms:created>
  <dcterms:modified xsi:type="dcterms:W3CDTF">2018-03-31T20:55:40Z</dcterms:modified>
</cp:coreProperties>
</file>